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comments2.xml" ContentType="application/vnd.openxmlformats-officedocument.spreadsheetml.comment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&amp;L" sheetId="1" state="visible" r:id="rId3"/>
    <sheet name="БДДС" sheetId="2" state="visible" r:id="rId4"/>
    <sheet name="Продажи" sheetId="3" state="visible" r:id="rId5"/>
    <sheet name="Затраты" sheetId="4" state="visible" r:id="rId6"/>
    <sheet name="ФОТ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7" authorId="0">
      <text>
        <r>
          <rPr>
            <sz val="10"/>
            <rFont val="Arial"/>
            <family val="2"/>
          </rPr>
          <t xml:space="preserve">Проценты по кредитам всегда вводятся вручную — это не зависит от налогового режима.</t>
        </r>
      </text>
    </comment>
    <comment ref="C3" authorId="0">
      <text>
        <r>
          <rPr>
            <sz val="10"/>
            <rFont val="Arial"/>
            <family val="2"/>
          </rPr>
          <t xml:space="preserve">ОСНО — НДС 20% + налог на прибыль 20%. УСН6 — 6% с выручки, без НДС. УСН15 — 15% с прибыли (не менее 1% с выручки), без НДС. Вручную — используются резервные строки ниже (26-27).</t>
        </r>
      </text>
    </comment>
    <comment ref="P29" authorId="0">
      <text>
        <r>
          <rPr>
            <sz val="10"/>
            <rFont val="Arial"/>
            <family val="2"/>
          </rPr>
          <t xml:space="preserve">С 2025 года УСН-плательщики платят НДС при выручке свыше 60 млн ₽/год: 5% при 60–250 млн, 7% при 250–450 млн, без вычета входного НДС (свыше 450 млн — право на УСН теряется, ставка приближена к общей 20% как отметка). Пороги индексируются — проверяйте актуальные значения.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P5" authorId="0">
      <text>
        <r>
          <rPr>
            <sz val="10"/>
            <rFont val="Arial"/>
            <family val="2"/>
          </rPr>
          <t xml:space="preserve">Через сколько месяцев после продажи вы оплачиваете поставщику этот товар (закупка происходит заранее).</t>
        </r>
      </text>
    </comment>
    <comment ref="P6" authorId="0">
      <text>
        <r>
          <rPr>
            <sz val="10"/>
            <rFont val="Arial"/>
            <family val="2"/>
          </rPr>
          <t xml:space="preserve">Стартовый остаток денег на счетах на 1 января.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P7" authorId="0">
      <text>
        <r>
          <rPr>
            <sz val="10"/>
            <rFont val="Arial"/>
            <family val="2"/>
          </rPr>
          <t xml:space="preserve">Во сколько раз цена продажи выше закупочной. Себестоимость = Выручка ÷ Наценка.</t>
        </r>
      </text>
    </comment>
    <comment ref="P8" authorId="0">
      <text>
        <r>
          <rPr>
            <sz val="10"/>
            <rFont val="Arial"/>
            <family val="2"/>
          </rPr>
          <t xml:space="preserve">Через сколько дней после продажи покупатель платит. В БДДС сдвигает поступление на ближайшее число месяцев.</t>
        </r>
      </text>
    </comment>
    <comment ref="P24" authorId="0">
      <text>
        <r>
          <rPr>
            <sz val="10"/>
            <rFont val="Arial"/>
            <family val="2"/>
          </rPr>
          <t xml:space="preserve">Комиссия площадки в % от выручки — вычитается и из маржинальной прибыли, и из поступлений в БДДС.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6" authorId="0">
      <text>
        <r>
          <rPr>
            <sz val="10"/>
            <rFont val="Arial"/>
            <family val="2"/>
          </rPr>
          <t xml:space="preserve">Статьи затрат вводятся помесячно вручную — суммы могут отличаться по месяцам (например, сезонная реклама).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7" authorId="0">
      <text>
        <r>
          <rPr>
            <sz val="10"/>
            <rFont val="Arial"/>
            <family val="2"/>
          </rPr>
          <t xml:space="preserve">Впишите «Коммерческий» или «Административный» — от этого зависит, в какие расходы попадёт сотрудник.</t>
        </r>
      </text>
    </comment>
    <comment ref="D4" authorId="0">
      <text>
        <r>
          <rPr>
            <sz val="10"/>
            <rFont val="Arial"/>
            <family val="2"/>
          </rPr>
          <t xml:space="preserve">Оклад в таблице ниже — сумма на руки. Gross считается как на руки ÷ (1 − ставка НДФЛ/100).</t>
        </r>
      </text>
    </comment>
    <comment ref="D5" authorId="0">
      <text>
        <r>
          <rPr>
            <sz val="10"/>
            <rFont val="Arial"/>
            <family val="2"/>
          </rPr>
          <t xml:space="preserve">Начисляется на gross (оклад с НДФЛ) сверху, полностью за счёт компании. Льгот МСП в этой модели нет.</t>
        </r>
      </text>
    </comment>
  </commentList>
</comments>
</file>

<file path=xl/sharedStrings.xml><?xml version="1.0" encoding="utf-8"?>
<sst xmlns="http://schemas.openxmlformats.org/spreadsheetml/2006/main" count="215" uniqueCount="123">
  <si>
    <t xml:space="preserve">Бюджет доходов и расходов (P&amp;L)</t>
  </si>
  <si>
    <t xml:space="preserve">Зелёным — ссылки на другие листы. Синим — ставки ниже операционной прибыли (проценты, НДС, налог).</t>
  </si>
  <si>
    <t xml:space="preserve">Налоговый режим:</t>
  </si>
  <si>
    <t xml:space="preserve">УСН15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</si>
  <si>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</si>
  <si>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</si>
  <si>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</si>
  <si>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</si>
  <si>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</si>
  <si>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</si>
  <si>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</si>
  <si>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</si>
  <si>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</si>
  <si>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</si>
  <si>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</si>
  <si>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</si>
  <si>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ИТОГО за год</t>
  </si>
  <si>
    <t xml:space="preserve">Выручка</t>
  </si>
  <si>
    <t xml:space="preserve">Себестоимость</t>
  </si>
  <si>
    <t xml:space="preserve">Комиссии площадок</t>
  </si>
  <si>
    <t xml:space="preserve">МАРЖИНАЛЬНАЯ ПРИБЫЛЬ</t>
  </si>
  <si>
    <t xml:space="preserve">  Рентабельность по марже</t>
  </si>
  <si>
    <t xml:space="preserve">Коммерческие расходы (вкл. ФОТ)</t>
  </si>
  <si>
    <t xml:space="preserve">Общехозяйственные расходы (вкл. ФОТ)</t>
  </si>
  <si>
    <t xml:space="preserve">ОПЕРАЦИОННАЯ ПРИБЫЛЬ (EBIT)</t>
  </si>
  <si>
    <t xml:space="preserve">  Рентабельность по операционной прибыли</t>
  </si>
  <si>
    <t xml:space="preserve">Ниже операционной прибыли</t>
  </si>
  <si>
    <t xml:space="preserve">Проценты по кредитам</t>
  </si>
  <si>
    <t xml:space="preserve">НДС к уплате (по режиму)</t>
  </si>
  <si>
    <t xml:space="preserve">Налог на прибыль (по режиму)</t>
  </si>
  <si>
    <t xml:space="preserve">Итого ниже операционной прибыли</t>
  </si>
  <si>
    <t xml:space="preserve">ЧИСТАЯ ПРИБЫЛЬ</t>
  </si>
  <si>
    <t xml:space="preserve">  Рентабельность по чистой прибыли</t>
  </si>
  <si>
    <t xml:space="preserve">Резерв: НДС вручную (если режим = Вручную)</t>
  </si>
  <si>
    <t xml:space="preserve">Резерв: налог на прибыль вручную (если режим = Вручную)</t>
  </si>
  <si>
    <t xml:space="preserve">Справка: годовая выручка (для порога НДС по УСН)</t>
  </si>
  <si>
    <t xml:space="preserve">Справка: ставка НДС по УСН (2025: 0% / 5% / 7% / 20%)</t>
  </si>
  <si>
    <t xml:space="preserve">Бюджет движения денежных средств (БДДС)</t>
  </si>
  <si>
    <t xml:space="preserve">Оплата поставщикам = месяц продажи минус срок оборачиваемости. Поступления от покупателей = месяц продажи плюс отсрочка платежа канала (округляется до месяцев). Суммы, выходящие за пределы года (при больших значениях параметров), в плане не отражаются.</t>
  </si>
  <si>
    <t xml:space="preserve">Срок оборачиваемости запасов, мес.</t>
  </si>
  <si>
    <t xml:space="preserve">←</t>
  </si>
  <si>
    <t xml:space="preserve">Остаток денег на начало года</t>
  </si>
  <si>
    <t xml:space="preserve">ПОСТУПЛЕНИЯ ОТ ПОКУПАТЕЛЕЙ</t>
  </si>
  <si>
    <t xml:space="preserve">Опт</t>
  </si>
  <si>
    <t xml:space="preserve">Прямые продажи</t>
  </si>
  <si>
    <t xml:space="preserve">Маркетплейсы (за вычетом комиссии)</t>
  </si>
  <si>
    <t xml:space="preserve">Итого поступления</t>
  </si>
  <si>
    <t xml:space="preserve">Оплата поставщикам (себестоимость)</t>
  </si>
  <si>
    <t xml:space="preserve">НДС к уплате</t>
  </si>
  <si>
    <t xml:space="preserve">Налог на прибыль</t>
  </si>
  <si>
    <t xml:space="preserve">ИТОГО ВЫПЛАТЫ</t>
  </si>
  <si>
    <t xml:space="preserve">ЧИСТЫЙ ДЕНЕЖНЫЙ ПОТОК</t>
  </si>
  <si>
    <t xml:space="preserve">ОСТАТОК НА КОНЕЦ ПЕРИОДА</t>
  </si>
  <si>
    <t xml:space="preserve">План продаж по каналам</t>
  </si>
  <si>
    <t xml:space="preserve">Синим — данные для ввода. Наценка/комиссия — в столбце P, единая на год (можно менять).</t>
  </si>
  <si>
    <t xml:space="preserve">ОПТ (продажи через партнёров, наценка на закупку)</t>
  </si>
  <si>
    <t xml:space="preserve">Наценка (коэфф.)</t>
  </si>
  <si>
    <t xml:space="preserve">Отсрочка платежа, дней</t>
  </si>
  <si>
    <t xml:space="preserve">Маржинальная прибыль</t>
  </si>
  <si>
    <t xml:space="preserve">Рентабельность по марже</t>
  </si>
  <si>
    <t xml:space="preserve">ПРЯМЫЕ ПРОДАЖИ (собственный отдел продаж, наценка на закупку)</t>
  </si>
  <si>
    <t xml:space="preserve">МАРКЕТПЛЕЙСЫ (наценка на закупку + комиссия площадки)</t>
  </si>
  <si>
    <t xml:space="preserve">Комиссия площадки, %</t>
  </si>
  <si>
    <t xml:space="preserve">Комиссия площадки</t>
  </si>
  <si>
    <t xml:space="preserve">ИТОГО ПО ВСЕМ КАНАЛАМ</t>
  </si>
  <si>
    <t xml:space="preserve">План затрат</t>
  </si>
  <si>
    <t xml:space="preserve">Синим — данные для ввода по статьям. Итоги по категориям считаются формулами.</t>
  </si>
  <si>
    <t xml:space="preserve">Тип платежа</t>
  </si>
  <si>
    <t xml:space="preserve">День оплаты</t>
  </si>
  <si>
    <t xml:space="preserve">КОММЕРЧЕСКИЕ РАСХОДЫ</t>
  </si>
  <si>
    <t xml:space="preserve">Мероприятия и реклама</t>
  </si>
  <si>
    <t xml:space="preserve">Ежемесячно</t>
  </si>
  <si>
    <t xml:space="preserve">ФОТ маркетинга (перенесено на лист «ФОТ»)</t>
  </si>
  <si>
    <t xml:space="preserve">Налоги с ФОТ маркетинга (перенесено на лист «ФОТ»)</t>
  </si>
  <si>
    <t xml:space="preserve">Прочие маркетинговые расходы</t>
  </si>
  <si>
    <t xml:space="preserve">Маркетинг и реклама</t>
  </si>
  <si>
    <t xml:space="preserve">Командировки</t>
  </si>
  <si>
    <t xml:space="preserve">Представительские расходы</t>
  </si>
  <si>
    <t xml:space="preserve">Доставка товаров</t>
  </si>
  <si>
    <t xml:space="preserve">ФОТ отдела продаж (перенесено на лист «ФОТ»)</t>
  </si>
  <si>
    <t xml:space="preserve">Налоги с ФОТ продаж (перенесено на лист «ФОТ»)</t>
  </si>
  <si>
    <t xml:space="preserve">Прочие коммерческие расходы</t>
  </si>
  <si>
    <t xml:space="preserve">ОБЩЕХОЗЯЙСТВЕННЫЕ РАСХОДЫ</t>
  </si>
  <si>
    <t xml:space="preserve">Аренда офиса</t>
  </si>
  <si>
    <t xml:space="preserve">Аренда склада</t>
  </si>
  <si>
    <t xml:space="preserve">Аренда</t>
  </si>
  <si>
    <t xml:space="preserve">IT-услуги (сайт, 1С, CRM)</t>
  </si>
  <si>
    <t xml:space="preserve">Юридические и консультационные</t>
  </si>
  <si>
    <t xml:space="preserve">Связь (телефония, интернет)</t>
  </si>
  <si>
    <t xml:space="preserve">Консультационные и IT-услуги</t>
  </si>
  <si>
    <t xml:space="preserve">ФОТ администрации (перенесено на лист «ФОТ»)</t>
  </si>
  <si>
    <t xml:space="preserve">Налоги с ФОТ администрации (перенесено на лист «ФОТ»)</t>
  </si>
  <si>
    <t xml:space="preserve">Канцтовары и хозрасходы</t>
  </si>
  <si>
    <t xml:space="preserve">Ремонт и обслуживание</t>
  </si>
  <si>
    <t xml:space="preserve">Разово</t>
  </si>
  <si>
    <t xml:space="preserve">Содержание офиса и склада</t>
  </si>
  <si>
    <t xml:space="preserve">РКО и комиссии банка</t>
  </si>
  <si>
    <t xml:space="preserve">Банковские расходы</t>
  </si>
  <si>
    <t xml:space="preserve">ВСЕГО ЗАТРАТ</t>
  </si>
  <si>
    <t xml:space="preserve">ФОТ (фонд оплаты труда, поимённо)</t>
  </si>
  <si>
    <t xml:space="preserve">Оклад — сумма на руки. НДФЛ начисляется сверху: gross = на руки ÷ (1 − ставка НДФЛ). Страховые взносы считаются от gross и полностью ложатся на компанию (без льгот МСП). Итоги по отделам ниже автоматически попадают в «Затраты» на листе P&amp;L и в БДДС.</t>
  </si>
  <si>
    <t xml:space="preserve">Ставка НДФЛ, %</t>
  </si>
  <si>
    <t xml:space="preserve">Ставка страховых взносов, %</t>
  </si>
  <si>
    <t xml:space="preserve">ФИО</t>
  </si>
  <si>
    <t xml:space="preserve">Должность</t>
  </si>
  <si>
    <t xml:space="preserve">Отдел</t>
  </si>
  <si>
    <t xml:space="preserve">Оклад на руки, ₽/мес.</t>
  </si>
  <si>
    <t xml:space="preserve">Gross (с НДФЛ), ₽/мес.</t>
  </si>
  <si>
    <t xml:space="preserve">Страховые взносы, ₽/мес.</t>
  </si>
  <si>
    <t xml:space="preserve">Итого для компании, ₽/мес.</t>
  </si>
  <si>
    <t xml:space="preserve">Иванов И.И.</t>
  </si>
  <si>
    <t xml:space="preserve">Менеджер по продажам</t>
  </si>
  <si>
    <t xml:space="preserve">Коммерческий</t>
  </si>
  <si>
    <t xml:space="preserve">Петров П.П.</t>
  </si>
  <si>
    <t xml:space="preserve">Сидорова А.А.</t>
  </si>
  <si>
    <t xml:space="preserve">Маркетолог</t>
  </si>
  <si>
    <t xml:space="preserve">Кузнецова О.В.</t>
  </si>
  <si>
    <t xml:space="preserve">Бухгалтер</t>
  </si>
  <si>
    <t xml:space="preserve">Административный</t>
  </si>
  <si>
    <t xml:space="preserve">Смирнов Д.А.</t>
  </si>
  <si>
    <t xml:space="preserve">Администратор склада</t>
  </si>
  <si>
    <t xml:space="preserve">ИТОГО КОММЕРЧЕСКИЙ ОТДЕЛ, ₽/мес.</t>
  </si>
  <si>
    <t xml:space="preserve">ИТОГО АДМИНИСТРАТИВНЫЙ ОТДЕЛ, ₽/мес.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</si>
</sst>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;\(#,##0\);\-"/>
    <numFmt numFmtId="166" formatCode="0.0%;\(0.0%\);\-"/>
    <numFmt numFmtId="167" formatCode="#,##0;\(#,##0\);\-"/>
    <numFmt numFmtId="168" formatCode="0.0%;\(0.0%\);\-"/>
    <numFmt numFmtId="169" formatCode="0"/>
    <numFmt numFmtId="170" formatCode="0.00"/>
    <numFmt numFmtId="171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i val="true"/>
      <sz val="9"/>
      <color rgb="FF5C645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1F4E3D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b val="true"/>
      <sz val="10"/>
      <color rgb="FF008000"/>
      <name val="Arial"/>
      <family val="0"/>
      <charset val="1"/>
    </font>
    <font>
      <i val="true"/>
      <sz val="9"/>
      <color rgb="FF9C9484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3D"/>
        <bgColor rgb="FF003366"/>
      </patternFill>
    </fill>
    <fill>
      <patternFill patternType="solid">
        <fgColor rgb="FFEFEAE0"/>
        <bgColor rgb="FFF0F3EF"/>
      </patternFill>
    </fill>
    <fill>
      <patternFill patternType="solid">
        <fgColor rgb="FFD9E4DC"/>
        <bgColor rgb="FFEFEAE0"/>
      </patternFill>
    </fill>
    <fill>
      <patternFill patternType="solid">
        <fgColor rgb="FFF0F3EF"/>
        <bgColor rgb="FFEFEAE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71" fontId="1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2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2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3EF"/>
      <rgbColor rgb="FFEFEAE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4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459"/>
      <rgbColor rgb="FF9C9484"/>
      <rgbColor rgb="FF003366"/>
      <rgbColor rgb="FF339966"/>
      <rgbColor rgb="FF003300"/>
      <rgbColor rgb="FF333300"/>
      <rgbColor rgb="FF993300"/>
      <rgbColor rgb="FF993366"/>
      <rgbColor rgb="FF333399"/>
      <rgbColor rgb="FF1F4E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5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13" min="2" style="1" width="12"/>
    <col collapsed="false" customWidth="true" hidden="false" outlineLevel="0" max="14" min="14" style="1" width="14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  <c r="C3" s="5" t="s">
        <v>3</v>
      </c>
    </row>
    <row r="4" customFormat="false" ht="15" hidden="false" customHeight="true" outlineLevel="0" collapsed="false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customFormat="false" ht="15" hidden="false" customHeight="true" outlineLevel="0" collapsed="false">
      <c r="A5" s="4" t="s">
        <v>17</v>
      </c>
      <c r="B5" s="7" t="n">
        <f aca="false">Продажи!B32</f>
        <v>7000000</v>
      </c>
      <c r="C5" s="7" t="n">
        <f aca="false">Продажи!C32</f>
        <v>8200000</v>
      </c>
      <c r="D5" s="7" t="n">
        <f aca="false">Продажи!D32</f>
        <v>8600000</v>
      </c>
      <c r="E5" s="7" t="n">
        <f aca="false">Продажи!E32</f>
        <v>7800000</v>
      </c>
      <c r="F5" s="7" t="n">
        <f aca="false">Продажи!F32</f>
        <v>8600000</v>
      </c>
      <c r="G5" s="7" t="n">
        <f aca="false">Продажи!G32</f>
        <v>9700000</v>
      </c>
      <c r="H5" s="7" t="n">
        <f aca="false">Продажи!H32</f>
        <v>9300000</v>
      </c>
      <c r="I5" s="7" t="n">
        <f aca="false">Продажи!I32</f>
        <v>9900000</v>
      </c>
      <c r="J5" s="7" t="n">
        <f aca="false">Продажи!J32</f>
        <v>10300000</v>
      </c>
      <c r="K5" s="7" t="n">
        <f aca="false">Продажи!K32</f>
        <v>12700000</v>
      </c>
      <c r="L5" s="7" t="n">
        <f aca="false">Продажи!L32</f>
        <v>14400000</v>
      </c>
      <c r="M5" s="7" t="n">
        <f aca="false">Продажи!M32</f>
        <v>15300000</v>
      </c>
      <c r="N5" s="7" t="n">
        <f aca="false">SUM(B5:M5)</f>
        <v>121800000</v>
      </c>
    </row>
    <row r="6" customFormat="false" ht="15" hidden="false" customHeight="true" outlineLevel="0" collapsed="false">
      <c r="A6" s="8" t="s">
        <v>18</v>
      </c>
      <c r="B6" s="9" t="n">
        <f aca="false">-Продажи!B33</f>
        <v>-4708571.42857143</v>
      </c>
      <c r="C6" s="9" t="n">
        <f aca="false">-Продажи!C33</f>
        <v>-5440000</v>
      </c>
      <c r="D6" s="9" t="n">
        <f aca="false">-Продажи!D33</f>
        <v>-5474285.71428572</v>
      </c>
      <c r="E6" s="9" t="n">
        <f aca="false">-Продажи!E33</f>
        <v>-4965714.28571429</v>
      </c>
      <c r="F6" s="9" t="n">
        <f aca="false">-Продажи!F33</f>
        <v>-5411428.57142857</v>
      </c>
      <c r="G6" s="9" t="n">
        <f aca="false">-Продажи!G33</f>
        <v>-6228571.42857143</v>
      </c>
      <c r="H6" s="9" t="n">
        <f aca="false">-Продажи!H33</f>
        <v>-5942857.14285714</v>
      </c>
      <c r="I6" s="9" t="n">
        <f aca="false">-Продажи!I33</f>
        <v>-6214285.71428572</v>
      </c>
      <c r="J6" s="9" t="n">
        <f aca="false">-Продажи!J33</f>
        <v>-6280000</v>
      </c>
      <c r="K6" s="9" t="n">
        <f aca="false">-Продажи!K33</f>
        <v>-7805714.28571429</v>
      </c>
      <c r="L6" s="9" t="n">
        <f aca="false">-Продажи!L33</f>
        <v>-8705714.28571429</v>
      </c>
      <c r="M6" s="9" t="n">
        <f aca="false">-Продажи!M33</f>
        <v>-8908571.42857143</v>
      </c>
      <c r="N6" s="9" t="n">
        <f aca="false">SUM(B6:M6)</f>
        <v>-76085714.2857143</v>
      </c>
    </row>
    <row r="7" customFormat="false" ht="15" hidden="false" customHeight="true" outlineLevel="0" collapsed="false">
      <c r="A7" s="8" t="s">
        <v>19</v>
      </c>
      <c r="B7" s="9" t="n">
        <f aca="false">-Продажи!B34</f>
        <v>-245000</v>
      </c>
      <c r="C7" s="9" t="n">
        <f aca="false">-Продажи!C34</f>
        <v>-385000</v>
      </c>
      <c r="D7" s="9" t="n">
        <f aca="false">-Продажи!D34</f>
        <v>-665000</v>
      </c>
      <c r="E7" s="9" t="n">
        <f aca="false">-Продажи!E34</f>
        <v>-595000</v>
      </c>
      <c r="F7" s="9" t="n">
        <f aca="false">-Продажи!F34</f>
        <v>-735000</v>
      </c>
      <c r="G7" s="9" t="n">
        <f aca="false">-Продажи!G34</f>
        <v>-700000</v>
      </c>
      <c r="H7" s="9" t="n">
        <f aca="false">-Продажи!H34</f>
        <v>-700000</v>
      </c>
      <c r="I7" s="9" t="n">
        <f aca="false">-Продажи!I34</f>
        <v>-875000</v>
      </c>
      <c r="J7" s="9" t="n">
        <f aca="false">-Продажи!J34</f>
        <v>-1120000</v>
      </c>
      <c r="K7" s="9" t="n">
        <f aca="false">-Продажи!K34</f>
        <v>-1330000</v>
      </c>
      <c r="L7" s="9" t="n">
        <f aca="false">-Продажи!L34</f>
        <v>-1680000</v>
      </c>
      <c r="M7" s="9" t="n">
        <f aca="false">-Продажи!M34</f>
        <v>-2170000</v>
      </c>
      <c r="N7" s="9" t="n">
        <f aca="false">SUM(B7:M7)</f>
        <v>-11200000</v>
      </c>
    </row>
    <row r="8" customFormat="false" ht="15" hidden="false" customHeight="true" outlineLevel="0" collapsed="false">
      <c r="A8" s="10" t="s">
        <v>20</v>
      </c>
      <c r="B8" s="11" t="n">
        <f aca="false">B5+B6+B7</f>
        <v>2046428.57142857</v>
      </c>
      <c r="C8" s="11" t="n">
        <f aca="false">C5+C6+C7</f>
        <v>2375000</v>
      </c>
      <c r="D8" s="11" t="n">
        <f aca="false">D5+D6+D7</f>
        <v>2460714.28571429</v>
      </c>
      <c r="E8" s="11" t="n">
        <f aca="false">E5+E6+E7</f>
        <v>2239285.71428571</v>
      </c>
      <c r="F8" s="11" t="n">
        <f aca="false">F5+F6+F7</f>
        <v>2453571.42857143</v>
      </c>
      <c r="G8" s="11" t="n">
        <f aca="false">G5+G6+G7</f>
        <v>2771428.57142857</v>
      </c>
      <c r="H8" s="11" t="n">
        <f aca="false">H5+H6+H7</f>
        <v>2657142.85714286</v>
      </c>
      <c r="I8" s="11" t="n">
        <f aca="false">I5+I6+I7</f>
        <v>2810714.28571429</v>
      </c>
      <c r="J8" s="11" t="n">
        <f aca="false">J5+J6+J7</f>
        <v>2900000</v>
      </c>
      <c r="K8" s="11" t="n">
        <f aca="false">K5+K6+K7</f>
        <v>3564285.71428571</v>
      </c>
      <c r="L8" s="11" t="n">
        <f aca="false">L5+L6+L7</f>
        <v>4014285.71428571</v>
      </c>
      <c r="M8" s="11" t="n">
        <f aca="false">M5+M6+M7</f>
        <v>4221428.57142857</v>
      </c>
      <c r="N8" s="11" t="n">
        <f aca="false">SUM(B8:M8)</f>
        <v>34514285.7142857</v>
      </c>
    </row>
    <row r="9" customFormat="false" ht="15" hidden="false" customHeight="true" outlineLevel="0" collapsed="false">
      <c r="A9" s="8" t="s">
        <v>21</v>
      </c>
      <c r="B9" s="12" t="n">
        <f aca="false">B8/B5</f>
        <v>0.29234693877551</v>
      </c>
      <c r="C9" s="12" t="n">
        <f aca="false">C8/C5</f>
        <v>0.289634146341463</v>
      </c>
      <c r="D9" s="12" t="n">
        <f aca="false">D8/D5</f>
        <v>0.286129568106312</v>
      </c>
      <c r="E9" s="12" t="n">
        <f aca="false">E8/E5</f>
        <v>0.287087912087912</v>
      </c>
      <c r="F9" s="12" t="n">
        <f aca="false">F8/F5</f>
        <v>0.285299003322259</v>
      </c>
      <c r="G9" s="12" t="n">
        <f aca="false">G8/G5</f>
        <v>0.285714285714286</v>
      </c>
      <c r="H9" s="12" t="n">
        <f aca="false">H8/H5</f>
        <v>0.285714285714286</v>
      </c>
      <c r="I9" s="12" t="n">
        <f aca="false">I8/I5</f>
        <v>0.283910533910534</v>
      </c>
      <c r="J9" s="12" t="n">
        <f aca="false">J8/J5</f>
        <v>0.281553398058252</v>
      </c>
      <c r="K9" s="12" t="n">
        <f aca="false">K8/K5</f>
        <v>0.280652418447694</v>
      </c>
      <c r="L9" s="12" t="n">
        <f aca="false">L8/L5</f>
        <v>0.278769841269841</v>
      </c>
      <c r="M9" s="12" t="n">
        <f aca="false">M8/M5</f>
        <v>0.275910364145658</v>
      </c>
      <c r="N9" s="12" t="n">
        <f aca="false">N8/N5</f>
        <v>0.283368519821722</v>
      </c>
    </row>
    <row r="11" customFormat="false" ht="15" hidden="false" customHeight="true" outlineLevel="0" collapsed="false">
      <c r="A11" s="8" t="s">
        <v>22</v>
      </c>
      <c r="B11" s="9" t="n">
        <f aca="false">-Затраты!B5-ФОТ!$G$14</f>
        <v>-768563.218390805</v>
      </c>
      <c r="C11" s="9" t="n">
        <f aca="false">-Затраты!C5-ФОТ!$G$14</f>
        <v>-768563.218390805</v>
      </c>
      <c r="D11" s="9" t="n">
        <f aca="false">-Затраты!D5-ФОТ!$G$14</f>
        <v>-768563.218390805</v>
      </c>
      <c r="E11" s="9" t="n">
        <f aca="false">-Затраты!E5-ФОТ!$G$14</f>
        <v>-798563.218390805</v>
      </c>
      <c r="F11" s="9" t="n">
        <f aca="false">-Затраты!F5-ФОТ!$G$14</f>
        <v>-798563.218390805</v>
      </c>
      <c r="G11" s="9" t="n">
        <f aca="false">-Затраты!G5-ФОТ!$G$14</f>
        <v>-798563.218390805</v>
      </c>
      <c r="H11" s="9" t="n">
        <f aca="false">-Затраты!H5-ФОТ!$G$14</f>
        <v>-768563.218390805</v>
      </c>
      <c r="I11" s="9" t="n">
        <f aca="false">-Затраты!I5-ФОТ!$G$14</f>
        <v>-768563.218390805</v>
      </c>
      <c r="J11" s="9" t="n">
        <f aca="false">-Затраты!J5-ФОТ!$G$14</f>
        <v>-768563.218390805</v>
      </c>
      <c r="K11" s="9" t="n">
        <f aca="false">-Затраты!K5-ФОТ!$G$14</f>
        <v>-798563.218390805</v>
      </c>
      <c r="L11" s="9" t="n">
        <f aca="false">-Затраты!L5-ФОТ!$G$14</f>
        <v>-798563.218390805</v>
      </c>
      <c r="M11" s="9" t="n">
        <f aca="false">-Затраты!M5-ФОТ!$G$14</f>
        <v>-798563.218390805</v>
      </c>
      <c r="N11" s="9" t="n">
        <f aca="false">-Затраты!N5-ФОТ!$G$14*12</f>
        <v>-9402758.62068966</v>
      </c>
    </row>
    <row r="12" customFormat="false" ht="15" hidden="false" customHeight="true" outlineLevel="0" collapsed="false">
      <c r="A12" s="8" t="s">
        <v>23</v>
      </c>
      <c r="B12" s="9" t="n">
        <f aca="false">-Затраты!B19-ФОТ!$G$15</f>
        <v>-764252.873563218</v>
      </c>
      <c r="C12" s="9" t="n">
        <f aca="false">-Затраты!C19-ФОТ!$G$15</f>
        <v>-764252.873563218</v>
      </c>
      <c r="D12" s="9" t="n">
        <f aca="false">-Затраты!D19-ФОТ!$G$15</f>
        <v>-764252.873563218</v>
      </c>
      <c r="E12" s="9" t="n">
        <f aca="false">-Затраты!E19-ФОТ!$G$15</f>
        <v>-764252.873563218</v>
      </c>
      <c r="F12" s="9" t="n">
        <f aca="false">-Затраты!F19-ФОТ!$G$15</f>
        <v>-764252.873563218</v>
      </c>
      <c r="G12" s="9" t="n">
        <f aca="false">-Затраты!G19-ФОТ!$G$15</f>
        <v>-884252.873563218</v>
      </c>
      <c r="H12" s="9" t="n">
        <f aca="false">-Затраты!H19-ФОТ!$G$15</f>
        <v>-764252.873563218</v>
      </c>
      <c r="I12" s="9" t="n">
        <f aca="false">-Затраты!I19-ФОТ!$G$15</f>
        <v>-764252.873563218</v>
      </c>
      <c r="J12" s="9" t="n">
        <f aca="false">-Затраты!J19-ФОТ!$G$15</f>
        <v>-764252.873563218</v>
      </c>
      <c r="K12" s="9" t="n">
        <f aca="false">-Затраты!K19-ФОТ!$G$15</f>
        <v>-764252.873563218</v>
      </c>
      <c r="L12" s="9" t="n">
        <f aca="false">-Затраты!L19-ФОТ!$G$15</f>
        <v>-764252.873563218</v>
      </c>
      <c r="M12" s="9" t="n">
        <f aca="false">-Затраты!M19-ФОТ!$G$15</f>
        <v>-764252.873563218</v>
      </c>
      <c r="N12" s="9" t="n">
        <f aca="false">-Затраты!N19-ФОТ!$G$15*12</f>
        <v>-9291034.48275862</v>
      </c>
    </row>
    <row r="13" customFormat="false" ht="15" hidden="false" customHeight="true" outlineLevel="0" collapsed="false">
      <c r="A13" s="10" t="s">
        <v>24</v>
      </c>
      <c r="B13" s="11" t="n">
        <f aca="false">B8+B11+B12</f>
        <v>513612.479474548</v>
      </c>
      <c r="C13" s="11" t="n">
        <f aca="false">C8+C11+C12</f>
        <v>842183.908045977</v>
      </c>
      <c r="D13" s="11" t="n">
        <f aca="false">D8+D11+D12</f>
        <v>927898.193760262</v>
      </c>
      <c r="E13" s="11" t="n">
        <f aca="false">E8+E11+E12</f>
        <v>676469.622331691</v>
      </c>
      <c r="F13" s="11" t="n">
        <f aca="false">F8+F11+F12</f>
        <v>890755.336617405</v>
      </c>
      <c r="G13" s="11" t="n">
        <f aca="false">G8+G11+G12</f>
        <v>1088612.47947455</v>
      </c>
      <c r="H13" s="11" t="n">
        <f aca="false">H8+H11+H12</f>
        <v>1124326.76518883</v>
      </c>
      <c r="I13" s="11" t="n">
        <f aca="false">I8+I11+I12</f>
        <v>1277898.19376026</v>
      </c>
      <c r="J13" s="11" t="n">
        <f aca="false">J8+J11+J12</f>
        <v>1367183.90804598</v>
      </c>
      <c r="K13" s="11" t="n">
        <f aca="false">K8+K11+K12</f>
        <v>2001469.62233169</v>
      </c>
      <c r="L13" s="11" t="n">
        <f aca="false">L8+L11+L12</f>
        <v>2451469.62233169</v>
      </c>
      <c r="M13" s="11" t="n">
        <f aca="false">M8+M11+M12</f>
        <v>2658612.47947455</v>
      </c>
      <c r="N13" s="11" t="n">
        <f aca="false">SUM(B13:M13)</f>
        <v>15820492.6108374</v>
      </c>
    </row>
    <row r="14" customFormat="false" ht="15" hidden="false" customHeight="true" outlineLevel="0" collapsed="false">
      <c r="A14" s="8" t="s">
        <v>25</v>
      </c>
      <c r="B14" s="12" t="n">
        <f aca="false">B13/B5</f>
        <v>0.0733732113535068</v>
      </c>
      <c r="C14" s="12" t="n">
        <f aca="false">C13/C5</f>
        <v>0.102705354639753</v>
      </c>
      <c r="D14" s="12" t="n">
        <f aca="false">D13/D5</f>
        <v>0.107895138809333</v>
      </c>
      <c r="E14" s="12" t="n">
        <f aca="false">E13/E5</f>
        <v>0.0867268746579092</v>
      </c>
      <c r="F14" s="12" t="n">
        <f aca="false">F13/F5</f>
        <v>0.103576201932256</v>
      </c>
      <c r="G14" s="12" t="n">
        <f aca="false">G13/G5</f>
        <v>0.112228090667479</v>
      </c>
      <c r="H14" s="12" t="n">
        <f aca="false">H13/H5</f>
        <v>0.120895351095573</v>
      </c>
      <c r="I14" s="12" t="n">
        <f aca="false">I13/I5</f>
        <v>0.12908062563235</v>
      </c>
      <c r="J14" s="12" t="n">
        <f aca="false">J13/J5</f>
        <v>0.132736301752037</v>
      </c>
      <c r="K14" s="12" t="n">
        <f aca="false">K13/K5</f>
        <v>0.157596033254464</v>
      </c>
      <c r="L14" s="12" t="n">
        <f aca="false">L13/L5</f>
        <v>0.170240945995256</v>
      </c>
      <c r="M14" s="12" t="n">
        <f aca="false">M13/M5</f>
        <v>0.173765521534284</v>
      </c>
      <c r="N14" s="12" t="n">
        <f aca="false">N13/N5</f>
        <v>0.129889101895217</v>
      </c>
    </row>
    <row r="16" customFormat="false" ht="15" hidden="false" customHeight="true" outlineLevel="0" collapsed="false">
      <c r="A16" s="13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customFormat="false" ht="15" hidden="false" customHeight="true" outlineLevel="0" collapsed="false">
      <c r="A17" s="15" t="s">
        <v>27</v>
      </c>
      <c r="B17" s="16" t="n">
        <v>80000</v>
      </c>
      <c r="C17" s="16" t="n">
        <v>80000</v>
      </c>
      <c r="D17" s="16" t="n">
        <v>80000</v>
      </c>
      <c r="E17" s="16" t="n">
        <v>80000</v>
      </c>
      <c r="F17" s="16" t="n">
        <v>80000</v>
      </c>
      <c r="G17" s="16" t="n">
        <v>80000</v>
      </c>
      <c r="H17" s="16" t="n">
        <v>80000</v>
      </c>
      <c r="I17" s="16" t="n">
        <v>80000</v>
      </c>
      <c r="J17" s="16" t="n">
        <v>80000</v>
      </c>
      <c r="K17" s="16" t="n">
        <v>80000</v>
      </c>
      <c r="L17" s="16" t="n">
        <v>80000</v>
      </c>
      <c r="M17" s="16" t="n">
        <v>80000</v>
      </c>
      <c r="N17" s="17" t="n">
        <f aca="false">SUM(B17:M17)</f>
        <v>960000</v>
      </c>
    </row>
    <row r="18" customFormat="false" ht="15" hidden="false" customHeight="true" outlineLevel="0" collapsed="false">
      <c r="A18" s="15" t="s">
        <v>28</v>
      </c>
      <c r="B18" s="18" t="n">
        <f aca="false">IF($C$3="Вручную",B26,IF($C$3="ОСНО",MAX(0,B5+B6-Затраты!B5-Затраты!B19)*20/120,IF(OR($C$3="УСН6",$C$3="УСН15"),B5*$P$29/(1+$P$29),0)))</f>
        <v>333333.333333333</v>
      </c>
      <c r="C18" s="18" t="n">
        <f aca="false">IF($C$3="Вручную",C26,IF($C$3="ОСНО",MAX(0,C5+C6-Затраты!C5-Затраты!C19)*20/120,IF(OR($C$3="УСН6",$C$3="УСН15"),C5*$P$29/(1+$P$29),0)))</f>
        <v>390476.190476191</v>
      </c>
      <c r="D18" s="18" t="n">
        <f aca="false">IF($C$3="Вручную",D26,IF($C$3="ОСНО",MAX(0,D5+D6-Затраты!D5-Затраты!D19)*20/120,IF(OR($C$3="УСН6",$C$3="УСН15"),D5*$P$29/(1+$P$29),0)))</f>
        <v>409523.80952381</v>
      </c>
      <c r="E18" s="18" t="n">
        <f aca="false">IF($C$3="Вручную",E26,IF($C$3="ОСНО",MAX(0,E5+E6-Затраты!E5-Затраты!E19)*20/120,IF(OR($C$3="УСН6",$C$3="УСН15"),E5*$P$29/(1+$P$29),0)))</f>
        <v>371428.571428571</v>
      </c>
      <c r="F18" s="18" t="n">
        <f aca="false">IF($C$3="Вручную",F26,IF($C$3="ОСНО",MAX(0,F5+F6-Затраты!F5-Затраты!F19)*20/120,IF(OR($C$3="УСН6",$C$3="УСН15"),F5*$P$29/(1+$P$29),0)))</f>
        <v>409523.80952381</v>
      </c>
      <c r="G18" s="18" t="n">
        <f aca="false">IF($C$3="Вручную",G26,IF($C$3="ОСНО",MAX(0,G5+G6-Затраты!G5-Затраты!G19)*20/120,IF(OR($C$3="УСН6",$C$3="УСН15"),G5*$P$29/(1+$P$29),0)))</f>
        <v>461904.761904762</v>
      </c>
      <c r="H18" s="18" t="n">
        <f aca="false">IF($C$3="Вручную",H26,IF($C$3="ОСНО",MAX(0,H5+H6-Затраты!H5-Затраты!H19)*20/120,IF(OR($C$3="УСН6",$C$3="УСН15"),H5*$P$29/(1+$P$29),0)))</f>
        <v>442857.142857143</v>
      </c>
      <c r="I18" s="18" t="n">
        <f aca="false">IF($C$3="Вручную",I26,IF($C$3="ОСНО",MAX(0,I5+I6-Затраты!I5-Затраты!I19)*20/120,IF(OR($C$3="УСН6",$C$3="УСН15"),I5*$P$29/(1+$P$29),0)))</f>
        <v>471428.571428571</v>
      </c>
      <c r="J18" s="18" t="n">
        <f aca="false">IF($C$3="Вручную",J26,IF($C$3="ОСНО",MAX(0,J5+J6-Затраты!J5-Затраты!J19)*20/120,IF(OR($C$3="УСН6",$C$3="УСН15"),J5*$P$29/(1+$P$29),0)))</f>
        <v>490476.190476191</v>
      </c>
      <c r="K18" s="18" t="n">
        <f aca="false">IF($C$3="Вручную",K26,IF($C$3="ОСНО",MAX(0,K5+K6-Затраты!K5-Затраты!K19)*20/120,IF(OR($C$3="УСН6",$C$3="УСН15"),K5*$P$29/(1+$P$29),0)))</f>
        <v>604761.904761905</v>
      </c>
      <c r="L18" s="18" t="n">
        <f aca="false">IF($C$3="Вручную",L26,IF($C$3="ОСНО",MAX(0,L5+L6-Затраты!L5-Затраты!L19)*20/120,IF(OR($C$3="УСН6",$C$3="УСН15"),L5*$P$29/(1+$P$29),0)))</f>
        <v>685714.285714286</v>
      </c>
      <c r="M18" s="18" t="n">
        <f aca="false">IF($C$3="Вручную",M26,IF($C$3="ОСНО",MAX(0,M5+M6-Затраты!M5-Затраты!M19)*20/120,IF(OR($C$3="УСН6",$C$3="УСН15"),M5*$P$29/(1+$P$29),0)))</f>
        <v>728571.428571429</v>
      </c>
      <c r="N18" s="19" t="n">
        <f aca="false">SUM(B18:M18)</f>
        <v>5800000</v>
      </c>
    </row>
    <row r="19" customFormat="false" ht="15" hidden="false" customHeight="true" outlineLevel="0" collapsed="false">
      <c r="A19" s="15" t="s">
        <v>29</v>
      </c>
      <c r="B19" s="18" t="n">
        <f aca="false">IF($C$3="Вручную",B27,IF($C$3="ОСНО",MAX(0,B5+B6+B11+B12-B17)*0.2,IF($C$3="УСН6",(B5-B18)*0.06,IF($C$3="УСН15",MAX((B5+B6+B11+B12-B18)*0.15,(B5-B18)*0.01),0))))</f>
        <v>66666.6666666667</v>
      </c>
      <c r="C19" s="18" t="n">
        <f aca="false">IF($C$3="Вручную",C27,IF($C$3="ОСНО",MAX(0,C5+C6+C11+C12-C17)*0.2,IF($C$3="УСН6",(C5-C18)*0.06,IF($C$3="УСН15",MAX((C5+C6+C11+C12-C18)*0.15,(C5-C18)*0.01),0))))</f>
        <v>125506.157635468</v>
      </c>
      <c r="D19" s="18" t="n">
        <f aca="false">IF($C$3="Вручную",D27,IF($C$3="ОСНО",MAX(0,D5+D6+D11+D12-D17)*0.2,IF($C$3="УСН6",(D5-D18)*0.06,IF($C$3="УСН15",MAX((D5+D6+D11+D12-D18)*0.15,(D5-D18)*0.01),0))))</f>
        <v>177506.157635468</v>
      </c>
      <c r="E19" s="18" t="n">
        <f aca="false">IF($C$3="Вручную",E27,IF($C$3="ОСНО",MAX(0,E5+E6+E11+E12-E17)*0.2,IF($C$3="УСН6",(E5-E18)*0.06,IF($C$3="УСН15",MAX((E5+E6+E11+E12-E18)*0.15,(E5-E18)*0.01),0))))</f>
        <v>135006.157635468</v>
      </c>
      <c r="F19" s="18" t="n">
        <f aca="false">IF($C$3="Вручную",F27,IF($C$3="ОСНО",MAX(0,F5+F6+F11+F12-F17)*0.2,IF($C$3="УСН6",(F5-F18)*0.06,IF($C$3="УСН15",MAX((F5+F6+F11+F12-F18)*0.15,(F5-F18)*0.01),0))))</f>
        <v>182434.729064039</v>
      </c>
      <c r="G19" s="18" t="n">
        <f aca="false">IF($C$3="Вручную",G27,IF($C$3="ОСНО",MAX(0,G5+G6+G11+G12-G17)*0.2,IF($C$3="УСН6",(G5-G18)*0.06,IF($C$3="УСН15",MAX((G5+G6+G11+G12-G18)*0.15,(G5-G18)*0.01),0))))</f>
        <v>199006.157635468</v>
      </c>
      <c r="H19" s="18" t="n">
        <f aca="false">IF($C$3="Вручную",H27,IF($C$3="ОСНО",MAX(0,H5+H6+H11+H12-H17)*0.2,IF($C$3="УСН6",(H5-H18)*0.06,IF($C$3="УСН15",MAX((H5+H6+H11+H12-H18)*0.15,(H5-H18)*0.01),0))))</f>
        <v>207220.443349754</v>
      </c>
      <c r="I19" s="18" t="n">
        <f aca="false">IF($C$3="Вручную",I27,IF($C$3="ОСНО",MAX(0,I5+I6+I11+I12-I17)*0.2,IF($C$3="УСН6",(I5-I18)*0.06,IF($C$3="УСН15",MAX((I5+I6+I11+I12-I18)*0.15,(I5-I18)*0.01),0))))</f>
        <v>252220.443349754</v>
      </c>
      <c r="J19" s="18" t="n">
        <f aca="false">IF($C$3="Вручную",J27,IF($C$3="ОСНО",MAX(0,J5+J6+J11+J12-J17)*0.2,IF($C$3="УСН6",(J5-J18)*0.06,IF($C$3="УСН15",MAX((J5+J6+J11+J12-J18)*0.15,(J5-J18)*0.01),0))))</f>
        <v>299506.157635468</v>
      </c>
      <c r="K19" s="18" t="n">
        <f aca="false">IF($C$3="Вручную",K27,IF($C$3="ОСНО",MAX(0,K5+K6+K11+K12-K17)*0.2,IF($C$3="УСН6",(K5-K18)*0.06,IF($C$3="УСН15",MAX((K5+K6+K11+K12-K18)*0.15,(K5-K18)*0.01),0))))</f>
        <v>409006.157635468</v>
      </c>
      <c r="L19" s="18" t="n">
        <f aca="false">IF($C$3="Вручную",L27,IF($C$3="ОСНО",MAX(0,L5+L6+L11+L12-L17)*0.2,IF($C$3="УСН6",(L5-L18)*0.06,IF($C$3="УСН15",MAX((L5+L6+L11+L12-L18)*0.15,(L5-L18)*0.01),0))))</f>
        <v>516863.300492611</v>
      </c>
      <c r="M19" s="18" t="n">
        <f aca="false">IF($C$3="Вручную",M27,IF($C$3="ОСНО",MAX(0,M5+M6+M11+M12-M17)*0.2,IF($C$3="УСН6",(M5-M18)*0.06,IF($C$3="УСН15",MAX((M5+M6+M11+M12-M18)*0.15,(M5-M18)*0.01),0))))</f>
        <v>615006.157635468</v>
      </c>
      <c r="N19" s="19" t="n">
        <f aca="false">SUM(B19:M19)</f>
        <v>3185948.6863711</v>
      </c>
    </row>
    <row r="20" customFormat="false" ht="15" hidden="false" customHeight="true" outlineLevel="0" collapsed="false">
      <c r="A20" s="4" t="s">
        <v>30</v>
      </c>
      <c r="B20" s="7" t="n">
        <f aca="false">B17+B18+B19</f>
        <v>480000</v>
      </c>
      <c r="C20" s="7" t="n">
        <f aca="false">C17+C18+C19</f>
        <v>595982.348111658</v>
      </c>
      <c r="D20" s="7" t="n">
        <f aca="false">D17+D18+D19</f>
        <v>667029.967159277</v>
      </c>
      <c r="E20" s="7" t="n">
        <f aca="false">E17+E18+E19</f>
        <v>586434.729064039</v>
      </c>
      <c r="F20" s="7" t="n">
        <f aca="false">F17+F18+F19</f>
        <v>671958.538587849</v>
      </c>
      <c r="G20" s="7" t="n">
        <f aca="false">G17+G18+G19</f>
        <v>740910.91954023</v>
      </c>
      <c r="H20" s="7" t="n">
        <f aca="false">H17+H18+H19</f>
        <v>730077.586206897</v>
      </c>
      <c r="I20" s="7" t="n">
        <f aca="false">I17+I18+I19</f>
        <v>803649.014778325</v>
      </c>
      <c r="J20" s="7" t="n">
        <f aca="false">J17+J18+J19</f>
        <v>869982.348111659</v>
      </c>
      <c r="K20" s="7" t="n">
        <f aca="false">K17+K18+K19</f>
        <v>1093768.06239737</v>
      </c>
      <c r="L20" s="7" t="n">
        <f aca="false">L17+L18+L19</f>
        <v>1282577.5862069</v>
      </c>
      <c r="M20" s="7" t="n">
        <f aca="false">M17+M18+M19</f>
        <v>1423577.5862069</v>
      </c>
      <c r="N20" s="7" t="n">
        <f aca="false">N17+N18+N19</f>
        <v>9945948.6863711</v>
      </c>
    </row>
    <row r="22" customFormat="false" ht="15" hidden="false" customHeight="true" outlineLevel="0" collapsed="false">
      <c r="A22" s="10" t="s">
        <v>31</v>
      </c>
      <c r="B22" s="11" t="n">
        <f aca="false">B13-B20</f>
        <v>33612.4794745478</v>
      </c>
      <c r="C22" s="11" t="n">
        <f aca="false">C13-C20</f>
        <v>246201.559934319</v>
      </c>
      <c r="D22" s="11" t="n">
        <f aca="false">D13-D20</f>
        <v>260868.226600985</v>
      </c>
      <c r="E22" s="11" t="n">
        <f aca="false">E13-E20</f>
        <v>90034.893267652</v>
      </c>
      <c r="F22" s="11" t="n">
        <f aca="false">F13-F20</f>
        <v>218796.798029556</v>
      </c>
      <c r="G22" s="11" t="n">
        <f aca="false">G13-G20</f>
        <v>347701.559934318</v>
      </c>
      <c r="H22" s="11" t="n">
        <f aca="false">H13-H20</f>
        <v>394249.178981937</v>
      </c>
      <c r="I22" s="11" t="n">
        <f aca="false">I13-I20</f>
        <v>474249.178981937</v>
      </c>
      <c r="J22" s="11" t="n">
        <f aca="false">J13-J20</f>
        <v>497201.559934318</v>
      </c>
      <c r="K22" s="11" t="n">
        <f aca="false">K13-K20</f>
        <v>907701.559934318</v>
      </c>
      <c r="L22" s="11" t="n">
        <f aca="false">L13-L20</f>
        <v>1168892.03612479</v>
      </c>
      <c r="M22" s="11" t="n">
        <f aca="false">M13-M20</f>
        <v>1235034.89326765</v>
      </c>
      <c r="N22" s="11" t="n">
        <f aca="false">SUM(B22:M22)</f>
        <v>5874543.92446633</v>
      </c>
    </row>
    <row r="23" customFormat="false" ht="15" hidden="false" customHeight="true" outlineLevel="0" collapsed="false">
      <c r="A23" s="8" t="s">
        <v>32</v>
      </c>
      <c r="B23" s="12" t="n">
        <f aca="false">B22/B5</f>
        <v>0.00480178278207826</v>
      </c>
      <c r="C23" s="12" t="n">
        <f aca="false">C22/C5</f>
        <v>0.0300245804797949</v>
      </c>
      <c r="D23" s="12" t="n">
        <f aca="false">D22/D5</f>
        <v>0.0303335147210448</v>
      </c>
      <c r="E23" s="12" t="n">
        <f aca="false">E22/E5</f>
        <v>0.0115429350343144</v>
      </c>
      <c r="F23" s="12" t="n">
        <f aca="false">F22/F5</f>
        <v>0.0254414881429716</v>
      </c>
      <c r="G23" s="12" t="n">
        <f aca="false">G22/G5</f>
        <v>0.0358455216427132</v>
      </c>
      <c r="H23" s="12" t="n">
        <f aca="false">H22/H5</f>
        <v>0.0423923848367674</v>
      </c>
      <c r="I23" s="12" t="n">
        <f aca="false">I22/I5</f>
        <v>0.047903957472923</v>
      </c>
      <c r="J23" s="12" t="n">
        <f aca="false">J22/J5</f>
        <v>0.048271996110128</v>
      </c>
      <c r="K23" s="12" t="n">
        <f aca="false">K22/K5</f>
        <v>0.0714725637743558</v>
      </c>
      <c r="L23" s="12" t="n">
        <f aca="false">L22/L5</f>
        <v>0.0811730580642218</v>
      </c>
      <c r="M23" s="12" t="n">
        <f aca="false">M22/M5</f>
        <v>0.0807212348540949</v>
      </c>
      <c r="N23" s="12" t="n">
        <f aca="false">N22/N5</f>
        <v>0.0482310667033361</v>
      </c>
    </row>
    <row r="26" customFormat="false" ht="15" hidden="false" customHeight="true" outlineLevel="0" collapsed="false">
      <c r="A26" s="3" t="s">
        <v>33</v>
      </c>
      <c r="B26" s="16" t="n">
        <v>150000</v>
      </c>
      <c r="C26" s="16" t="n">
        <v>150000</v>
      </c>
      <c r="D26" s="16" t="n">
        <v>150000</v>
      </c>
      <c r="E26" s="16" t="n">
        <v>150000</v>
      </c>
      <c r="F26" s="16" t="n">
        <v>150000</v>
      </c>
      <c r="G26" s="16" t="n">
        <v>150000</v>
      </c>
      <c r="H26" s="16" t="n">
        <v>150000</v>
      </c>
      <c r="I26" s="16" t="n">
        <v>150000</v>
      </c>
      <c r="J26" s="16" t="n">
        <v>150000</v>
      </c>
      <c r="K26" s="16" t="n">
        <v>150000</v>
      </c>
      <c r="L26" s="16" t="n">
        <v>150000</v>
      </c>
      <c r="M26" s="16" t="n">
        <v>150000</v>
      </c>
    </row>
    <row r="27" customFormat="false" ht="15" hidden="false" customHeight="true" outlineLevel="0" collapsed="false">
      <c r="A27" s="3" t="s">
        <v>34</v>
      </c>
      <c r="B27" s="16" t="n">
        <v>40000</v>
      </c>
      <c r="C27" s="16" t="n">
        <v>40000</v>
      </c>
      <c r="D27" s="16" t="n">
        <v>40000</v>
      </c>
      <c r="E27" s="16" t="n">
        <v>40000</v>
      </c>
      <c r="F27" s="16" t="n">
        <v>40000</v>
      </c>
      <c r="G27" s="16" t="n">
        <v>40000</v>
      </c>
      <c r="H27" s="16" t="n">
        <v>40000</v>
      </c>
      <c r="I27" s="16" t="n">
        <v>40000</v>
      </c>
      <c r="J27" s="16" t="n">
        <v>40000</v>
      </c>
      <c r="K27" s="16" t="n">
        <v>40000</v>
      </c>
      <c r="L27" s="16" t="n">
        <v>40000</v>
      </c>
      <c r="M27" s="16" t="n">
        <v>40000</v>
      </c>
    </row>
    <row r="28" customFormat="false" ht="15" hidden="false" customHeight="false" outlineLevel="0" collapsed="false">
      <c r="A28" s="20" t="s">
        <v>35</v>
      </c>
      <c r="P28" s="21" t="n">
        <f aca="false">N5</f>
        <v>121800000</v>
      </c>
    </row>
    <row r="29" customFormat="false" ht="15" hidden="false" customHeight="false" outlineLevel="0" collapsed="false">
      <c r="A29" s="20" t="s">
        <v>36</v>
      </c>
      <c r="P29" s="22" t="n">
        <f aca="false">IF(P28&lt;=60000000,0,IF(P28&lt;=250000000,0.05,IF(P28&lt;=450000000,0.07,0.2)))</f>
        <v>0.05</v>
      </c>
    </row>
  </sheetData>
  <dataValidations count="1">
    <dataValidation allowBlank="false" errorStyle="stop" operator="between" showDropDown="false" showErrorMessage="false" showInputMessage="false" sqref="C3" type="list">
      <formula1>"ОСНО,УСН6,УСН15,Вручную"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13" min="2" style="1" width="12"/>
    <col collapsed="false" customWidth="true" hidden="false" outlineLevel="0" max="14" min="14" style="1" width="14"/>
  </cols>
  <sheetData>
    <row r="1" customFormat="false" ht="19.5" hidden="false" customHeight="true" outlineLevel="0" collapsed="false">
      <c r="A1" s="2" t="s">
        <v>37</v>
      </c>
    </row>
    <row r="2" customFormat="false" ht="25.5" hidden="false" customHeight="true" outlineLevel="0" collapsed="false">
      <c r="A2" s="23" t="s">
        <v>38</v>
      </c>
      <c r="B2" s="23"/>
      <c r="C2" s="23"/>
      <c r="D2" s="23"/>
      <c r="E2" s="23"/>
      <c r="F2" s="23"/>
      <c r="G2" s="23"/>
      <c r="H2" s="23"/>
      <c r="I2" s="23"/>
      <c r="J2" s="23"/>
    </row>
    <row r="4" customFormat="false" ht="15" hidden="false" customHeight="true" outlineLevel="0" collapsed="false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customFormat="false" ht="15" hidden="false" customHeight="true" outlineLevel="0" collapsed="false">
      <c r="A5" s="4" t="s">
        <v>39</v>
      </c>
      <c r="O5" s="8" t="s">
        <v>40</v>
      </c>
      <c r="P5" s="24" t="n">
        <v>2</v>
      </c>
    </row>
    <row r="6" customFormat="false" ht="15" hidden="false" customHeight="true" outlineLevel="0" collapsed="false">
      <c r="A6" s="4" t="s">
        <v>41</v>
      </c>
      <c r="O6" s="8" t="s">
        <v>40</v>
      </c>
      <c r="P6" s="25" t="n">
        <v>800000</v>
      </c>
    </row>
    <row r="8" customFormat="false" ht="15" hidden="false" customHeight="true" outlineLevel="0" collapsed="false">
      <c r="A8" s="26" t="s">
        <v>42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customFormat="false" ht="15" hidden="false" customHeight="true" outlineLevel="0" collapsed="false">
      <c r="A9" s="15" t="s">
        <v>43</v>
      </c>
      <c r="B9" s="17" t="n">
        <f aca="true">IF(AND(0-ROUND(Продажи!$P$8/30,0)&gt;=0,0-ROUND(Продажи!$P$8/30,0)&lt;=11),+OFFSET(Продажи!$B$6,0,0-ROUND(Продажи!$P$8/30,0)),0)</f>
        <v>0</v>
      </c>
      <c r="C9" s="17" t="n">
        <f aca="true">IF(AND(1-ROUND(Продажи!$P$8/30,0)&gt;=0,1-ROUND(Продажи!$P$8/30,0)&lt;=11),+OFFSET(Продажи!$B$6,0,1-ROUND(Продажи!$P$8/30,0)),0)</f>
        <v>4800000</v>
      </c>
      <c r="D9" s="17" t="n">
        <f aca="true">IF(AND(2-ROUND(Продажи!$P$8/30,0)&gt;=0,2-ROUND(Продажи!$P$8/30,0)&lt;=11),+OFFSET(Продажи!$B$6,0,2-ROUND(Продажи!$P$8/30,0)),0)</f>
        <v>5600000</v>
      </c>
      <c r="E9" s="17" t="n">
        <f aca="true">IF(AND(3-ROUND(Продажи!$P$8/30,0)&gt;=0,3-ROUND(Продажи!$P$8/30,0)&lt;=11),+OFFSET(Продажи!$B$6,0,3-ROUND(Продажи!$P$8/30,0)),0)</f>
        <v>5200000</v>
      </c>
      <c r="F9" s="17" t="n">
        <f aca="true">IF(AND(4-ROUND(Продажи!$P$8/30,0)&gt;=0,4-ROUND(Продажи!$P$8/30,0)&lt;=11),+OFFSET(Продажи!$B$6,0,4-ROUND(Продажи!$P$8/30,0)),0)</f>
        <v>4600000</v>
      </c>
      <c r="G9" s="17" t="n">
        <f aca="true">IF(AND(5-ROUND(Продажи!$P$8/30,0)&gt;=0,5-ROUND(Продажи!$P$8/30,0)&lt;=11),+OFFSET(Продажи!$B$6,0,5-ROUND(Продажи!$P$8/30,0)),0)</f>
        <v>5000000</v>
      </c>
      <c r="H9" s="17" t="n">
        <f aca="true">IF(AND(6-ROUND(Продажи!$P$8/30,0)&gt;=0,6-ROUND(Продажи!$P$8/30,0)&lt;=11),+OFFSET(Продажи!$B$6,0,6-ROUND(Продажи!$P$8/30,0)),0)</f>
        <v>6200000</v>
      </c>
      <c r="I9" s="17" t="n">
        <f aca="true">IF(AND(7-ROUND(Продажи!$P$8/30,0)&gt;=0,7-ROUND(Продажи!$P$8/30,0)&lt;=11),+OFFSET(Продажи!$B$6,0,7-ROUND(Продажи!$P$8/30,0)),0)</f>
        <v>5800000</v>
      </c>
      <c r="J9" s="17" t="n">
        <f aca="true">IF(AND(8-ROUND(Продажи!$P$8/30,0)&gt;=0,8-ROUND(Продажи!$P$8/30,0)&lt;=11),+OFFSET(Продажи!$B$6,0,8-ROUND(Продажи!$P$8/30,0)),0)</f>
        <v>5900000</v>
      </c>
      <c r="K9" s="17" t="n">
        <f aca="true">IF(AND(9-ROUND(Продажи!$P$8/30,0)&gt;=0,9-ROUND(Продажи!$P$8/30,0)&lt;=11),+OFFSET(Продажи!$B$6,0,9-ROUND(Продажи!$P$8/30,0)),0)</f>
        <v>5600000</v>
      </c>
      <c r="L9" s="17" t="n">
        <f aca="true">IF(AND(10-ROUND(Продажи!$P$8/30,0)&gt;=0,10-ROUND(Продажи!$P$8/30,0)&lt;=11),+OFFSET(Продажи!$B$6,0,10-ROUND(Продажи!$P$8/30,0)),0)</f>
        <v>7400000</v>
      </c>
      <c r="M9" s="17" t="n">
        <f aca="true">IF(AND(11-ROUND(Продажи!$P$8/30,0)&gt;=0,11-ROUND(Продажи!$P$8/30,0)&lt;=11),+OFFSET(Продажи!$B$6,0,11-ROUND(Продажи!$P$8/30,0)),0)</f>
        <v>8100000</v>
      </c>
      <c r="N9" s="17" t="n">
        <f aca="false">SUM(B9:M9)</f>
        <v>64200000</v>
      </c>
    </row>
    <row r="10" customFormat="false" ht="15" hidden="false" customHeight="true" outlineLevel="0" collapsed="false">
      <c r="A10" s="15" t="s">
        <v>44</v>
      </c>
      <c r="B10" s="17" t="n">
        <f aca="true">IF(AND(0-ROUND(Продажи!$P$16/30,0)&gt;=0,0-ROUND(Продажи!$P$16/30,0)&lt;=11),+OFFSET(Продажи!$B$14,0,0-ROUND(Продажи!$P$16/30,0)),0)</f>
        <v>0</v>
      </c>
      <c r="C10" s="17" t="n">
        <f aca="true">IF(AND(1-ROUND(Продажи!$P$16/30,0)&gt;=0,1-ROUND(Продажи!$P$16/30,0)&lt;=11),+OFFSET(Продажи!$B$14,0,1-ROUND(Продажи!$P$16/30,0)),0)</f>
        <v>1500000</v>
      </c>
      <c r="D10" s="17" t="n">
        <f aca="true">IF(AND(2-ROUND(Продажи!$P$16/30,0)&gt;=0,2-ROUND(Продажи!$P$16/30,0)&lt;=11),+OFFSET(Продажи!$B$14,0,2-ROUND(Продажи!$P$16/30,0)),0)</f>
        <v>1500000</v>
      </c>
      <c r="E10" s="17" t="n">
        <f aca="true">IF(AND(3-ROUND(Продажи!$P$16/30,0)&gt;=0,3-ROUND(Продажи!$P$16/30,0)&lt;=11),+OFFSET(Продажи!$B$14,0,3-ROUND(Продажи!$P$16/30,0)),0)</f>
        <v>1500000</v>
      </c>
      <c r="F10" s="17" t="n">
        <f aca="true">IF(AND(4-ROUND(Продажи!$P$16/30,0)&gt;=0,4-ROUND(Продажи!$P$16/30,0)&lt;=11),+OFFSET(Продажи!$B$14,0,4-ROUND(Продажи!$P$16/30,0)),0)</f>
        <v>1500000</v>
      </c>
      <c r="G10" s="17" t="n">
        <f aca="true">IF(AND(5-ROUND(Продажи!$P$16/30,0)&gt;=0,5-ROUND(Продажи!$P$16/30,0)&lt;=11),+OFFSET(Продажи!$B$14,0,5-ROUND(Продажи!$P$16/30,0)),0)</f>
        <v>1500000</v>
      </c>
      <c r="H10" s="17" t="n">
        <f aca="true">IF(AND(6-ROUND(Продажи!$P$16/30,0)&gt;=0,6-ROUND(Продажи!$P$16/30,0)&lt;=11),+OFFSET(Продажи!$B$14,0,6-ROUND(Продажи!$P$16/30,0)),0)</f>
        <v>1500000</v>
      </c>
      <c r="I10" s="17" t="n">
        <f aca="true">IF(AND(7-ROUND(Продажи!$P$16/30,0)&gt;=0,7-ROUND(Продажи!$P$16/30,0)&lt;=11),+OFFSET(Продажи!$B$14,0,7-ROUND(Продажи!$P$16/30,0)),0)</f>
        <v>1500000</v>
      </c>
      <c r="J10" s="17" t="n">
        <f aca="true">IF(AND(8-ROUND(Продажи!$P$16/30,0)&gt;=0,8-ROUND(Продажи!$P$16/30,0)&lt;=11),+OFFSET(Продажи!$B$14,0,8-ROUND(Продажи!$P$16/30,0)),0)</f>
        <v>1500000</v>
      </c>
      <c r="K10" s="17" t="n">
        <f aca="true">IF(AND(9-ROUND(Продажи!$P$16/30,0)&gt;=0,9-ROUND(Продажи!$P$16/30,0)&lt;=11),+OFFSET(Продажи!$B$14,0,9-ROUND(Продажи!$P$16/30,0)),0)</f>
        <v>1500000</v>
      </c>
      <c r="L10" s="17" t="n">
        <f aca="true">IF(AND(10-ROUND(Продажи!$P$16/30,0)&gt;=0,10-ROUND(Продажи!$P$16/30,0)&lt;=11),+OFFSET(Продажи!$B$14,0,10-ROUND(Продажи!$P$16/30,0)),0)</f>
        <v>1500000</v>
      </c>
      <c r="M10" s="17" t="n">
        <f aca="true">IF(AND(11-ROUND(Продажи!$P$16/30,0)&gt;=0,11-ROUND(Продажи!$P$16/30,0)&lt;=11),+OFFSET(Продажи!$B$14,0,11-ROUND(Продажи!$P$16/30,0)),0)</f>
        <v>1500000</v>
      </c>
      <c r="N10" s="17" t="n">
        <f aca="false">SUM(B10:M10)</f>
        <v>16500000</v>
      </c>
    </row>
    <row r="11" customFormat="false" ht="15" hidden="false" customHeight="true" outlineLevel="0" collapsed="false">
      <c r="A11" s="15" t="s">
        <v>45</v>
      </c>
      <c r="B11" s="17" t="n">
        <f aca="true">IF(AND(0-ROUND(Продажи!$P$25/30,0)&gt;=0,0-ROUND(Продажи!$P$25/30,0)&lt;=11),+OFFSET(Продажи!$B$22,0,0-ROUND(Продажи!$P$25/30,0))-OFFSET(Продажи!$B$27,0,0-ROUND(Продажи!$P$25/30,0)),0)</f>
        <v>455000</v>
      </c>
      <c r="C11" s="17" t="n">
        <f aca="true">IF(AND(1-ROUND(Продажи!$P$25/30,0)&gt;=0,1-ROUND(Продажи!$P$25/30,0)&lt;=11),+OFFSET(Продажи!$B$22,0,1-ROUND(Продажи!$P$25/30,0))-OFFSET(Продажи!$B$27,0,1-ROUND(Продажи!$P$25/30,0)),0)</f>
        <v>715000</v>
      </c>
      <c r="D11" s="17" t="n">
        <f aca="true">IF(AND(2-ROUND(Продажи!$P$25/30,0)&gt;=0,2-ROUND(Продажи!$P$25/30,0)&lt;=11),+OFFSET(Продажи!$B$22,0,2-ROUND(Продажи!$P$25/30,0))-OFFSET(Продажи!$B$27,0,2-ROUND(Продажи!$P$25/30,0)),0)</f>
        <v>1235000</v>
      </c>
      <c r="E11" s="17" t="n">
        <f aca="true">IF(AND(3-ROUND(Продажи!$P$25/30,0)&gt;=0,3-ROUND(Продажи!$P$25/30,0)&lt;=11),+OFFSET(Продажи!$B$22,0,3-ROUND(Продажи!$P$25/30,0))-OFFSET(Продажи!$B$27,0,3-ROUND(Продажи!$P$25/30,0)),0)</f>
        <v>1105000</v>
      </c>
      <c r="F11" s="17" t="n">
        <f aca="true">IF(AND(4-ROUND(Продажи!$P$25/30,0)&gt;=0,4-ROUND(Продажи!$P$25/30,0)&lt;=11),+OFFSET(Продажи!$B$22,0,4-ROUND(Продажи!$P$25/30,0))-OFFSET(Продажи!$B$27,0,4-ROUND(Продажи!$P$25/30,0)),0)</f>
        <v>1365000</v>
      </c>
      <c r="G11" s="17" t="n">
        <f aca="true">IF(AND(5-ROUND(Продажи!$P$25/30,0)&gt;=0,5-ROUND(Продажи!$P$25/30,0)&lt;=11),+OFFSET(Продажи!$B$22,0,5-ROUND(Продажи!$P$25/30,0))-OFFSET(Продажи!$B$27,0,5-ROUND(Продажи!$P$25/30,0)),0)</f>
        <v>1300000</v>
      </c>
      <c r="H11" s="17" t="n">
        <f aca="true">IF(AND(6-ROUND(Продажи!$P$25/30,0)&gt;=0,6-ROUND(Продажи!$P$25/30,0)&lt;=11),+OFFSET(Продажи!$B$22,0,6-ROUND(Продажи!$P$25/30,0))-OFFSET(Продажи!$B$27,0,6-ROUND(Продажи!$P$25/30,0)),0)</f>
        <v>1300000</v>
      </c>
      <c r="I11" s="17" t="n">
        <f aca="true">IF(AND(7-ROUND(Продажи!$P$25/30,0)&gt;=0,7-ROUND(Продажи!$P$25/30,0)&lt;=11),+OFFSET(Продажи!$B$22,0,7-ROUND(Продажи!$P$25/30,0))-OFFSET(Продажи!$B$27,0,7-ROUND(Продажи!$P$25/30,0)),0)</f>
        <v>1625000</v>
      </c>
      <c r="J11" s="17" t="n">
        <f aca="true">IF(AND(8-ROUND(Продажи!$P$25/30,0)&gt;=0,8-ROUND(Продажи!$P$25/30,0)&lt;=11),+OFFSET(Продажи!$B$22,0,8-ROUND(Продажи!$P$25/30,0))-OFFSET(Продажи!$B$27,0,8-ROUND(Продажи!$P$25/30,0)),0)</f>
        <v>2080000</v>
      </c>
      <c r="K11" s="17" t="n">
        <f aca="true">IF(AND(9-ROUND(Продажи!$P$25/30,0)&gt;=0,9-ROUND(Продажи!$P$25/30,0)&lt;=11),+OFFSET(Продажи!$B$22,0,9-ROUND(Продажи!$P$25/30,0))-OFFSET(Продажи!$B$27,0,9-ROUND(Продажи!$P$25/30,0)),0)</f>
        <v>2470000</v>
      </c>
      <c r="L11" s="17" t="n">
        <f aca="true">IF(AND(10-ROUND(Продажи!$P$25/30,0)&gt;=0,10-ROUND(Продажи!$P$25/30,0)&lt;=11),+OFFSET(Продажи!$B$22,0,10-ROUND(Продажи!$P$25/30,0))-OFFSET(Продажи!$B$27,0,10-ROUND(Продажи!$P$25/30,0)),0)</f>
        <v>3120000</v>
      </c>
      <c r="M11" s="17" t="n">
        <f aca="true">IF(AND(11-ROUND(Продажи!$P$25/30,0)&gt;=0,11-ROUND(Продажи!$P$25/30,0)&lt;=11),+OFFSET(Продажи!$B$22,0,11-ROUND(Продажи!$P$25/30,0))-OFFSET(Продажи!$B$27,0,11-ROUND(Продажи!$P$25/30,0)),0)</f>
        <v>4030000</v>
      </c>
      <c r="N11" s="17" t="n">
        <f aca="false">SUM(B11:M11)</f>
        <v>20800000</v>
      </c>
    </row>
    <row r="12" customFormat="false" ht="15" hidden="false" customHeight="true" outlineLevel="0" collapsed="false">
      <c r="A12" s="4" t="s">
        <v>46</v>
      </c>
      <c r="B12" s="7" t="n">
        <f aca="false">B9+B10+B11</f>
        <v>455000</v>
      </c>
      <c r="C12" s="7" t="n">
        <f aca="false">C9+C10+C11</f>
        <v>7015000</v>
      </c>
      <c r="D12" s="7" t="n">
        <f aca="false">D9+D10+D11</f>
        <v>8335000</v>
      </c>
      <c r="E12" s="7" t="n">
        <f aca="false">E9+E10+E11</f>
        <v>7805000</v>
      </c>
      <c r="F12" s="7" t="n">
        <f aca="false">F9+F10+F11</f>
        <v>7465000</v>
      </c>
      <c r="G12" s="7" t="n">
        <f aca="false">G9+G10+G11</f>
        <v>7800000</v>
      </c>
      <c r="H12" s="7" t="n">
        <f aca="false">H9+H10+H11</f>
        <v>9000000</v>
      </c>
      <c r="I12" s="7" t="n">
        <f aca="false">I9+I10+I11</f>
        <v>8925000</v>
      </c>
      <c r="J12" s="7" t="n">
        <f aca="false">J9+J10+J11</f>
        <v>9480000</v>
      </c>
      <c r="K12" s="7" t="n">
        <f aca="false">K9+K10+K11</f>
        <v>9570000</v>
      </c>
      <c r="L12" s="7" t="n">
        <f aca="false">L9+L10+L11</f>
        <v>12020000</v>
      </c>
      <c r="M12" s="7" t="n">
        <f aca="false">M9+M10+M11</f>
        <v>13630000</v>
      </c>
      <c r="N12" s="7" t="n">
        <f aca="false">N9+N10+N11</f>
        <v>101500000</v>
      </c>
    </row>
    <row r="14" customFormat="false" ht="15" hidden="false" customHeight="true" outlineLevel="0" collapsed="false">
      <c r="A14" s="8" t="s">
        <v>47</v>
      </c>
      <c r="B14" s="17" t="n">
        <f aca="true">IF(AND(0+$P$5&gt;=0,0+$P$5&lt;=11),-(+OFFSET(Продажи!$B$9,0,0+$P$5)+OFFSET(Продажи!$B$17,0,0+$P$5)+OFFSET(Продажи!$B$26,0,0+$P$5)),0)</f>
        <v>-5474285.71428572</v>
      </c>
      <c r="C14" s="17" t="n">
        <f aca="true">IF(AND(1+$P$5&gt;=0,1+$P$5&lt;=11),-(+OFFSET(Продажи!$B$9,0,1+$P$5)+OFFSET(Продажи!$B$17,0,1+$P$5)+OFFSET(Продажи!$B$26,0,1+$P$5)),0)</f>
        <v>-4965714.28571429</v>
      </c>
      <c r="D14" s="17" t="n">
        <f aca="true">IF(AND(2+$P$5&gt;=0,2+$P$5&lt;=11),-(+OFFSET(Продажи!$B$9,0,2+$P$5)+OFFSET(Продажи!$B$17,0,2+$P$5)+OFFSET(Продажи!$B$26,0,2+$P$5)),0)</f>
        <v>-5411428.57142857</v>
      </c>
      <c r="E14" s="17" t="n">
        <f aca="true">IF(AND(3+$P$5&gt;=0,3+$P$5&lt;=11),-(+OFFSET(Продажи!$B$9,0,3+$P$5)+OFFSET(Продажи!$B$17,0,3+$P$5)+OFFSET(Продажи!$B$26,0,3+$P$5)),0)</f>
        <v>-6228571.42857143</v>
      </c>
      <c r="F14" s="17" t="n">
        <f aca="true">IF(AND(4+$P$5&gt;=0,4+$P$5&lt;=11),-(+OFFSET(Продажи!$B$9,0,4+$P$5)+OFFSET(Продажи!$B$17,0,4+$P$5)+OFFSET(Продажи!$B$26,0,4+$P$5)),0)</f>
        <v>-5942857.14285714</v>
      </c>
      <c r="G14" s="17" t="n">
        <f aca="true">IF(AND(5+$P$5&gt;=0,5+$P$5&lt;=11),-(+OFFSET(Продажи!$B$9,0,5+$P$5)+OFFSET(Продажи!$B$17,0,5+$P$5)+OFFSET(Продажи!$B$26,0,5+$P$5)),0)</f>
        <v>-6214285.71428572</v>
      </c>
      <c r="H14" s="17" t="n">
        <f aca="true">IF(AND(6+$P$5&gt;=0,6+$P$5&lt;=11),-(+OFFSET(Продажи!$B$9,0,6+$P$5)+OFFSET(Продажи!$B$17,0,6+$P$5)+OFFSET(Продажи!$B$26,0,6+$P$5)),0)</f>
        <v>-6280000</v>
      </c>
      <c r="I14" s="17" t="n">
        <f aca="true">IF(AND(7+$P$5&gt;=0,7+$P$5&lt;=11),-(+OFFSET(Продажи!$B$9,0,7+$P$5)+OFFSET(Продажи!$B$17,0,7+$P$5)+OFFSET(Продажи!$B$26,0,7+$P$5)),0)</f>
        <v>-7805714.28571429</v>
      </c>
      <c r="J14" s="17" t="n">
        <f aca="true">IF(AND(8+$P$5&gt;=0,8+$P$5&lt;=11),-(+OFFSET(Продажи!$B$9,0,8+$P$5)+OFFSET(Продажи!$B$17,0,8+$P$5)+OFFSET(Продажи!$B$26,0,8+$P$5)),0)</f>
        <v>-8705714.28571429</v>
      </c>
      <c r="K14" s="17" t="n">
        <f aca="true">IF(AND(9+$P$5&gt;=0,9+$P$5&lt;=11),-(+OFFSET(Продажи!$B$9,0,9+$P$5)+OFFSET(Продажи!$B$17,0,9+$P$5)+OFFSET(Продажи!$B$26,0,9+$P$5)),0)</f>
        <v>-8908571.42857143</v>
      </c>
      <c r="L14" s="17" t="n">
        <f aca="true">IF(AND(10+$P$5&gt;=0,10+$P$5&lt;=11),-(+OFFSET(Продажи!$B$9,0,10+$P$5)+OFFSET(Продажи!$B$17,0,10+$P$5)+OFFSET(Продажи!$B$26,0,10+$P$5)),0)</f>
        <v>0</v>
      </c>
      <c r="M14" s="17" t="n">
        <f aca="true">IF(AND(11+$P$5&gt;=0,11+$P$5&lt;=11),-(+OFFSET(Продажи!$B$9,0,11+$P$5)+OFFSET(Продажи!$B$17,0,11+$P$5)+OFFSET(Продажи!$B$26,0,11+$P$5)),0)</f>
        <v>0</v>
      </c>
      <c r="N14" s="17" t="n">
        <f aca="false">SUM(B14:M14)</f>
        <v>-65937142.8571429</v>
      </c>
    </row>
    <row r="15" customFormat="false" ht="15" hidden="false" customHeight="true" outlineLevel="0" collapsed="false">
      <c r="A15" s="8" t="s">
        <v>22</v>
      </c>
      <c r="B15" s="9" t="n">
        <f aca="false">-Затраты!B5-ФОТ!$G$14</f>
        <v>-768563.218390805</v>
      </c>
      <c r="C15" s="9" t="n">
        <f aca="false">-Затраты!C5-ФОТ!$G$14</f>
        <v>-768563.218390805</v>
      </c>
      <c r="D15" s="9" t="n">
        <f aca="false">-Затраты!D5-ФОТ!$G$14</f>
        <v>-768563.218390805</v>
      </c>
      <c r="E15" s="9" t="n">
        <f aca="false">-Затраты!E5-ФОТ!$G$14</f>
        <v>-798563.218390805</v>
      </c>
      <c r="F15" s="9" t="n">
        <f aca="false">-Затраты!F5-ФОТ!$G$14</f>
        <v>-798563.218390805</v>
      </c>
      <c r="G15" s="9" t="n">
        <f aca="false">-Затраты!G5-ФОТ!$G$14</f>
        <v>-798563.218390805</v>
      </c>
      <c r="H15" s="9" t="n">
        <f aca="false">-Затраты!H5-ФОТ!$G$14</f>
        <v>-768563.218390805</v>
      </c>
      <c r="I15" s="9" t="n">
        <f aca="false">-Затраты!I5-ФОТ!$G$14</f>
        <v>-768563.218390805</v>
      </c>
      <c r="J15" s="9" t="n">
        <f aca="false">-Затраты!J5-ФОТ!$G$14</f>
        <v>-768563.218390805</v>
      </c>
      <c r="K15" s="9" t="n">
        <f aca="false">-Затраты!K5-ФОТ!$G$14</f>
        <v>-798563.218390805</v>
      </c>
      <c r="L15" s="9" t="n">
        <f aca="false">-Затраты!L5-ФОТ!$G$14</f>
        <v>-798563.218390805</v>
      </c>
      <c r="M15" s="9" t="n">
        <f aca="false">-Затраты!M5-ФОТ!$G$14</f>
        <v>-798563.218390805</v>
      </c>
      <c r="N15" s="9" t="n">
        <f aca="false">-Затраты!N5-ФОТ!$G$14*12</f>
        <v>-9402758.62068966</v>
      </c>
    </row>
    <row r="16" customFormat="false" ht="15" hidden="false" customHeight="true" outlineLevel="0" collapsed="false">
      <c r="A16" s="8" t="s">
        <v>23</v>
      </c>
      <c r="B16" s="9" t="n">
        <f aca="false">-Затраты!B19-ФОТ!$G$15</f>
        <v>-764252.873563218</v>
      </c>
      <c r="C16" s="9" t="n">
        <f aca="false">-Затраты!C19-ФОТ!$G$15</f>
        <v>-764252.873563218</v>
      </c>
      <c r="D16" s="9" t="n">
        <f aca="false">-Затраты!D19-ФОТ!$G$15</f>
        <v>-764252.873563218</v>
      </c>
      <c r="E16" s="9" t="n">
        <f aca="false">-Затраты!E19-ФОТ!$G$15</f>
        <v>-764252.873563218</v>
      </c>
      <c r="F16" s="9" t="n">
        <f aca="false">-Затраты!F19-ФОТ!$G$15</f>
        <v>-764252.873563218</v>
      </c>
      <c r="G16" s="9" t="n">
        <f aca="false">-Затраты!G19-ФОТ!$G$15</f>
        <v>-884252.873563218</v>
      </c>
      <c r="H16" s="9" t="n">
        <f aca="false">-Затраты!H19-ФОТ!$G$15</f>
        <v>-764252.873563218</v>
      </c>
      <c r="I16" s="9" t="n">
        <f aca="false">-Затраты!I19-ФОТ!$G$15</f>
        <v>-764252.873563218</v>
      </c>
      <c r="J16" s="9" t="n">
        <f aca="false">-Затраты!J19-ФОТ!$G$15</f>
        <v>-764252.873563218</v>
      </c>
      <c r="K16" s="9" t="n">
        <f aca="false">-Затраты!K19-ФОТ!$G$15</f>
        <v>-764252.873563218</v>
      </c>
      <c r="L16" s="9" t="n">
        <f aca="false">-Затраты!L19-ФОТ!$G$15</f>
        <v>-764252.873563218</v>
      </c>
      <c r="M16" s="9" t="n">
        <f aca="false">-Затраты!M19-ФОТ!$G$15</f>
        <v>-764252.873563218</v>
      </c>
      <c r="N16" s="9" t="n">
        <f aca="false">-Затраты!N19-ФОТ!$G$15*12</f>
        <v>-9291034.48275862</v>
      </c>
    </row>
    <row r="17" customFormat="false" ht="15" hidden="false" customHeight="true" outlineLevel="0" collapsed="false">
      <c r="A17" s="8" t="s">
        <v>27</v>
      </c>
      <c r="B17" s="9" t="n">
        <f aca="false">-'P&amp;L'!B17</f>
        <v>-80000</v>
      </c>
      <c r="C17" s="9" t="n">
        <f aca="false">-'P&amp;L'!C17</f>
        <v>-80000</v>
      </c>
      <c r="D17" s="9" t="n">
        <f aca="false">-'P&amp;L'!D17</f>
        <v>-80000</v>
      </c>
      <c r="E17" s="9" t="n">
        <f aca="false">-'P&amp;L'!E17</f>
        <v>-80000</v>
      </c>
      <c r="F17" s="9" t="n">
        <f aca="false">-'P&amp;L'!F17</f>
        <v>-80000</v>
      </c>
      <c r="G17" s="9" t="n">
        <f aca="false">-'P&amp;L'!G17</f>
        <v>-80000</v>
      </c>
      <c r="H17" s="9" t="n">
        <f aca="false">-'P&amp;L'!H17</f>
        <v>-80000</v>
      </c>
      <c r="I17" s="9" t="n">
        <f aca="false">-'P&amp;L'!I17</f>
        <v>-80000</v>
      </c>
      <c r="J17" s="9" t="n">
        <f aca="false">-'P&amp;L'!J17</f>
        <v>-80000</v>
      </c>
      <c r="K17" s="9" t="n">
        <f aca="false">-'P&amp;L'!K17</f>
        <v>-80000</v>
      </c>
      <c r="L17" s="9" t="n">
        <f aca="false">-'P&amp;L'!L17</f>
        <v>-80000</v>
      </c>
      <c r="M17" s="9" t="n">
        <f aca="false">-'P&amp;L'!M17</f>
        <v>-80000</v>
      </c>
      <c r="N17" s="9" t="n">
        <f aca="false">SUM(B17:M17)</f>
        <v>-960000</v>
      </c>
    </row>
    <row r="18" customFormat="false" ht="15" hidden="false" customHeight="true" outlineLevel="0" collapsed="false">
      <c r="A18" s="8" t="s">
        <v>48</v>
      </c>
      <c r="B18" s="9" t="n">
        <f aca="false">-'P&amp;L'!B18</f>
        <v>-333333.333333333</v>
      </c>
      <c r="C18" s="9" t="n">
        <f aca="false">-'P&amp;L'!C18</f>
        <v>-390476.190476191</v>
      </c>
      <c r="D18" s="9" t="n">
        <f aca="false">-'P&amp;L'!D18</f>
        <v>-409523.80952381</v>
      </c>
      <c r="E18" s="9" t="n">
        <f aca="false">-'P&amp;L'!E18</f>
        <v>-371428.571428571</v>
      </c>
      <c r="F18" s="9" t="n">
        <f aca="false">-'P&amp;L'!F18</f>
        <v>-409523.80952381</v>
      </c>
      <c r="G18" s="9" t="n">
        <f aca="false">-'P&amp;L'!G18</f>
        <v>-461904.761904762</v>
      </c>
      <c r="H18" s="9" t="n">
        <f aca="false">-'P&amp;L'!H18</f>
        <v>-442857.142857143</v>
      </c>
      <c r="I18" s="9" t="n">
        <f aca="false">-'P&amp;L'!I18</f>
        <v>-471428.571428571</v>
      </c>
      <c r="J18" s="9" t="n">
        <f aca="false">-'P&amp;L'!J18</f>
        <v>-490476.190476191</v>
      </c>
      <c r="K18" s="9" t="n">
        <f aca="false">-'P&amp;L'!K18</f>
        <v>-604761.904761905</v>
      </c>
      <c r="L18" s="9" t="n">
        <f aca="false">-'P&amp;L'!L18</f>
        <v>-685714.285714286</v>
      </c>
      <c r="M18" s="9" t="n">
        <f aca="false">-'P&amp;L'!M18</f>
        <v>-728571.428571429</v>
      </c>
      <c r="N18" s="9" t="n">
        <f aca="false">SUM(B18:M18)</f>
        <v>-5800000</v>
      </c>
    </row>
    <row r="19" customFormat="false" ht="15" hidden="false" customHeight="true" outlineLevel="0" collapsed="false">
      <c r="A19" s="8" t="s">
        <v>49</v>
      </c>
      <c r="B19" s="9" t="n">
        <f aca="false">-'P&amp;L'!B19</f>
        <v>-66666.6666666667</v>
      </c>
      <c r="C19" s="9" t="n">
        <f aca="false">-'P&amp;L'!C19</f>
        <v>-125506.157635468</v>
      </c>
      <c r="D19" s="9" t="n">
        <f aca="false">-'P&amp;L'!D19</f>
        <v>-177506.157635468</v>
      </c>
      <c r="E19" s="9" t="n">
        <f aca="false">-'P&amp;L'!E19</f>
        <v>-135006.157635468</v>
      </c>
      <c r="F19" s="9" t="n">
        <f aca="false">-'P&amp;L'!F19</f>
        <v>-182434.729064039</v>
      </c>
      <c r="G19" s="9" t="n">
        <f aca="false">-'P&amp;L'!G19</f>
        <v>-199006.157635468</v>
      </c>
      <c r="H19" s="9" t="n">
        <f aca="false">-'P&amp;L'!H19</f>
        <v>-207220.443349754</v>
      </c>
      <c r="I19" s="9" t="n">
        <f aca="false">-'P&amp;L'!I19</f>
        <v>-252220.443349754</v>
      </c>
      <c r="J19" s="9" t="n">
        <f aca="false">-'P&amp;L'!J19</f>
        <v>-299506.157635468</v>
      </c>
      <c r="K19" s="9" t="n">
        <f aca="false">-'P&amp;L'!K19</f>
        <v>-409006.157635468</v>
      </c>
      <c r="L19" s="9" t="n">
        <f aca="false">-'P&amp;L'!L19</f>
        <v>-516863.300492611</v>
      </c>
      <c r="M19" s="9" t="n">
        <f aca="false">-'P&amp;L'!M19</f>
        <v>-615006.157635468</v>
      </c>
      <c r="N19" s="9" t="n">
        <f aca="false">SUM(B19:M19)</f>
        <v>-3185948.6863711</v>
      </c>
    </row>
    <row r="20" customFormat="false" ht="15" hidden="false" customHeight="true" outlineLevel="0" collapsed="false">
      <c r="A20" s="4" t="s">
        <v>50</v>
      </c>
      <c r="B20" s="7" t="n">
        <f aca="false">B14+B15+B16+B17+B18+B19</f>
        <v>-7487101.80623974</v>
      </c>
      <c r="C20" s="7" t="n">
        <f aca="false">C14+C15+C16+C17+C18+C19</f>
        <v>-7094512.72577997</v>
      </c>
      <c r="D20" s="7" t="n">
        <f aca="false">D14+D15+D16+D17+D18+D19</f>
        <v>-7611274.63054187</v>
      </c>
      <c r="E20" s="7" t="n">
        <f aca="false">E14+E15+E16+E17+E18+E19</f>
        <v>-8377822.24958949</v>
      </c>
      <c r="F20" s="7" t="n">
        <f aca="false">F14+F15+F16+F17+F18+F19</f>
        <v>-8177631.77339902</v>
      </c>
      <c r="G20" s="7" t="n">
        <f aca="false">G14+G15+G16+G17+G18+G19</f>
        <v>-8638012.72577997</v>
      </c>
      <c r="H20" s="7" t="n">
        <f aca="false">H14+H15+H16+H17+H18+H19</f>
        <v>-8542893.67816092</v>
      </c>
      <c r="I20" s="7" t="n">
        <f aca="false">I14+I15+I16+I17+I18+I19</f>
        <v>-10142179.3924466</v>
      </c>
      <c r="J20" s="7" t="n">
        <f aca="false">J14+J15+J16+J17+J18+J19</f>
        <v>-11108512.72578</v>
      </c>
      <c r="K20" s="7" t="n">
        <f aca="false">K14+K15+K16+K17+K18+K19</f>
        <v>-11565155.5829228</v>
      </c>
      <c r="L20" s="7" t="n">
        <f aca="false">L14+L15+L16+L17+L18+L19</f>
        <v>-2845393.67816092</v>
      </c>
      <c r="M20" s="7" t="n">
        <f aca="false">M14+M15+M16+M17+M18+M19</f>
        <v>-2986393.67816092</v>
      </c>
      <c r="N20" s="7" t="n">
        <f aca="false">N14+N15+N16+N17+N18+N19</f>
        <v>-94576884.6469623</v>
      </c>
    </row>
    <row r="22" customFormat="false" ht="15" hidden="false" customHeight="true" outlineLevel="0" collapsed="false">
      <c r="A22" s="10" t="s">
        <v>51</v>
      </c>
      <c r="B22" s="11" t="n">
        <f aca="false">B12+B20</f>
        <v>-7032101.80623974</v>
      </c>
      <c r="C22" s="11" t="n">
        <f aca="false">C12+C20</f>
        <v>-79512.7257799665</v>
      </c>
      <c r="D22" s="11" t="n">
        <f aca="false">D12+D20</f>
        <v>723725.369458127</v>
      </c>
      <c r="E22" s="11" t="n">
        <f aca="false">E12+E20</f>
        <v>-572822.249589492</v>
      </c>
      <c r="F22" s="11" t="n">
        <f aca="false">F12+F20</f>
        <v>-712631.773399015</v>
      </c>
      <c r="G22" s="11" t="n">
        <f aca="false">G12+G20</f>
        <v>-838012.725779966</v>
      </c>
      <c r="H22" s="11" t="n">
        <f aca="false">H12+H20</f>
        <v>457106.321839081</v>
      </c>
      <c r="I22" s="11" t="n">
        <f aca="false">I12+I20</f>
        <v>-1217179.39244664</v>
      </c>
      <c r="J22" s="11" t="n">
        <f aca="false">J12+J20</f>
        <v>-1628512.72577997</v>
      </c>
      <c r="K22" s="11" t="n">
        <f aca="false">K12+K20</f>
        <v>-1995155.58292282</v>
      </c>
      <c r="L22" s="11" t="n">
        <f aca="false">L12+L20</f>
        <v>9174606.32183908</v>
      </c>
      <c r="M22" s="11" t="n">
        <f aca="false">M12+M20</f>
        <v>10643606.3218391</v>
      </c>
      <c r="N22" s="11" t="n">
        <f aca="false">N12+N20</f>
        <v>6923115.35303775</v>
      </c>
    </row>
    <row r="23" customFormat="false" ht="15" hidden="false" customHeight="true" outlineLevel="0" collapsed="false">
      <c r="A23" s="10" t="s">
        <v>52</v>
      </c>
      <c r="B23" s="11" t="n">
        <f aca="false">$P$6+B22</f>
        <v>-6232101.80623974</v>
      </c>
      <c r="C23" s="11" t="n">
        <f aca="false">B23+C22</f>
        <v>-6311614.5320197</v>
      </c>
      <c r="D23" s="11" t="n">
        <f aca="false">C23+D22</f>
        <v>-5587889.16256158</v>
      </c>
      <c r="E23" s="11" t="n">
        <f aca="false">D23+E22</f>
        <v>-6160711.41215107</v>
      </c>
      <c r="F23" s="11" t="n">
        <f aca="false">E23+F22</f>
        <v>-6873343.18555008</v>
      </c>
      <c r="G23" s="11" t="n">
        <f aca="false">F23+G22</f>
        <v>-7711355.91133005</v>
      </c>
      <c r="H23" s="11" t="n">
        <f aca="false">G23+H22</f>
        <v>-7254249.58949097</v>
      </c>
      <c r="I23" s="11" t="n">
        <f aca="false">H23+I22</f>
        <v>-8471428.9819376</v>
      </c>
      <c r="J23" s="11" t="n">
        <f aca="false">I23+J22</f>
        <v>-10099941.7077176</v>
      </c>
      <c r="K23" s="11" t="n">
        <f aca="false">J23+K22</f>
        <v>-12095097.2906404</v>
      </c>
      <c r="L23" s="11" t="n">
        <f aca="false">K23+L22</f>
        <v>-2920490.96880131</v>
      </c>
      <c r="M23" s="11" t="n">
        <f aca="false">L23+M22</f>
        <v>7723115.35303777</v>
      </c>
      <c r="N23" s="11" t="n">
        <f aca="false">M23</f>
        <v>7723115.35303777</v>
      </c>
    </row>
  </sheetData>
  <mergeCells count="1"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13" min="2" style="1" width="12"/>
    <col collapsed="false" customWidth="true" hidden="false" outlineLevel="0" max="14" min="14" style="1" width="14"/>
  </cols>
  <sheetData>
    <row r="1" customFormat="false" ht="17.25" hidden="false" customHeight="true" outlineLevel="0" collapsed="false">
      <c r="A1" s="2" t="s">
        <v>53</v>
      </c>
    </row>
    <row r="2" customFormat="false" ht="15" hidden="false" customHeight="true" outlineLevel="0" collapsed="false">
      <c r="A2" s="3" t="s">
        <v>54</v>
      </c>
    </row>
    <row r="4" customFormat="false" ht="15" hidden="false" customHeight="true" outlineLevel="0" collapsed="false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customFormat="false" ht="15" hidden="false" customHeight="true" outlineLevel="0" collapsed="false">
      <c r="A5" s="13" t="s">
        <v>55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customFormat="false" ht="15" hidden="false" customHeight="true" outlineLevel="0" collapsed="false">
      <c r="A6" s="15" t="s">
        <v>17</v>
      </c>
      <c r="B6" s="16" t="n">
        <v>4800000</v>
      </c>
      <c r="C6" s="16" t="n">
        <v>5600000</v>
      </c>
      <c r="D6" s="16" t="n">
        <v>5200000</v>
      </c>
      <c r="E6" s="16" t="n">
        <v>4600000</v>
      </c>
      <c r="F6" s="16" t="n">
        <v>5000000</v>
      </c>
      <c r="G6" s="16" t="n">
        <v>6200000</v>
      </c>
      <c r="H6" s="16" t="n">
        <v>5800000</v>
      </c>
      <c r="I6" s="16" t="n">
        <v>5900000</v>
      </c>
      <c r="J6" s="16" t="n">
        <v>5600000</v>
      </c>
      <c r="K6" s="16" t="n">
        <v>7400000</v>
      </c>
      <c r="L6" s="16" t="n">
        <v>8100000</v>
      </c>
      <c r="M6" s="16" t="n">
        <v>7600000</v>
      </c>
      <c r="N6" s="17" t="n">
        <f aca="false">SUM(B6:M6)</f>
        <v>71800000</v>
      </c>
    </row>
    <row r="7" customFormat="false" ht="15" hidden="false" customHeight="true" outlineLevel="0" collapsed="false">
      <c r="A7" s="15" t="s">
        <v>56</v>
      </c>
      <c r="O7" s="8" t="s">
        <v>40</v>
      </c>
      <c r="P7" s="27" t="n">
        <v>1.4</v>
      </c>
    </row>
    <row r="8" customFormat="false" ht="15" hidden="false" customHeight="true" outlineLevel="0" collapsed="false">
      <c r="A8" s="15" t="s">
        <v>57</v>
      </c>
      <c r="O8" s="8" t="s">
        <v>40</v>
      </c>
      <c r="P8" s="28" t="n">
        <v>30</v>
      </c>
    </row>
    <row r="9" customFormat="false" ht="15" hidden="false" customHeight="true" outlineLevel="0" collapsed="false">
      <c r="A9" s="15" t="s">
        <v>18</v>
      </c>
      <c r="B9" s="17" t="n">
        <f aca="false">B6/$P$7</f>
        <v>3428571.42857143</v>
      </c>
      <c r="C9" s="17" t="n">
        <f aca="false">C6/$P$7</f>
        <v>4000000</v>
      </c>
      <c r="D9" s="17" t="n">
        <f aca="false">D6/$P$7</f>
        <v>3714285.71428571</v>
      </c>
      <c r="E9" s="17" t="n">
        <f aca="false">E6/$P$7</f>
        <v>3285714.28571429</v>
      </c>
      <c r="F9" s="17" t="n">
        <f aca="false">F6/$P$7</f>
        <v>3571428.57142857</v>
      </c>
      <c r="G9" s="17" t="n">
        <f aca="false">G6/$P$7</f>
        <v>4428571.42857143</v>
      </c>
      <c r="H9" s="17" t="n">
        <f aca="false">H6/$P$7</f>
        <v>4142857.14285714</v>
      </c>
      <c r="I9" s="17" t="n">
        <f aca="false">I6/$P$7</f>
        <v>4214285.71428572</v>
      </c>
      <c r="J9" s="17" t="n">
        <f aca="false">J6/$P$7</f>
        <v>4000000</v>
      </c>
      <c r="K9" s="17" t="n">
        <f aca="false">K6/$P$7</f>
        <v>5285714.28571429</v>
      </c>
      <c r="L9" s="17" t="n">
        <f aca="false">L6/$P$7</f>
        <v>5785714.28571429</v>
      </c>
      <c r="M9" s="17" t="n">
        <f aca="false">M6/$P$7</f>
        <v>5428571.42857143</v>
      </c>
      <c r="N9" s="17" t="n">
        <f aca="false">SUM(B9:M9)</f>
        <v>51285714.2857143</v>
      </c>
    </row>
    <row r="10" customFormat="false" ht="15" hidden="false" customHeight="true" outlineLevel="0" collapsed="false">
      <c r="A10" s="29" t="s">
        <v>58</v>
      </c>
      <c r="B10" s="7" t="n">
        <f aca="false">B6-B9</f>
        <v>1371428.57142857</v>
      </c>
      <c r="C10" s="7" t="n">
        <f aca="false">C6-C9</f>
        <v>1600000</v>
      </c>
      <c r="D10" s="7" t="n">
        <f aca="false">D6-D9</f>
        <v>1485714.28571429</v>
      </c>
      <c r="E10" s="7" t="n">
        <f aca="false">E6-E9</f>
        <v>1314285.71428571</v>
      </c>
      <c r="F10" s="7" t="n">
        <f aca="false">F6-F9</f>
        <v>1428571.42857143</v>
      </c>
      <c r="G10" s="7" t="n">
        <f aca="false">G6-G9</f>
        <v>1771428.57142857</v>
      </c>
      <c r="H10" s="7" t="n">
        <f aca="false">H6-H9</f>
        <v>1657142.85714286</v>
      </c>
      <c r="I10" s="7" t="n">
        <f aca="false">I6-I9</f>
        <v>1685714.28571429</v>
      </c>
      <c r="J10" s="7" t="n">
        <f aca="false">J6-J9</f>
        <v>1600000</v>
      </c>
      <c r="K10" s="7" t="n">
        <f aca="false">K6-K9</f>
        <v>2114285.71428571</v>
      </c>
      <c r="L10" s="7" t="n">
        <f aca="false">L6-L9</f>
        <v>2314285.71428571</v>
      </c>
      <c r="M10" s="7" t="n">
        <f aca="false">M6-M9</f>
        <v>2171428.57142857</v>
      </c>
      <c r="N10" s="7" t="n">
        <f aca="false">SUM(B10:M10)</f>
        <v>20514285.7142857</v>
      </c>
    </row>
    <row r="11" customFormat="false" ht="15" hidden="false" customHeight="true" outlineLevel="0" collapsed="false">
      <c r="A11" s="15" t="s">
        <v>59</v>
      </c>
      <c r="B11" s="12" t="n">
        <f aca="false">B10/B6</f>
        <v>0.285714285714286</v>
      </c>
      <c r="C11" s="12" t="n">
        <f aca="false">C10/C6</f>
        <v>0.285714285714286</v>
      </c>
      <c r="D11" s="12" t="n">
        <f aca="false">D10/D6</f>
        <v>0.285714285714286</v>
      </c>
      <c r="E11" s="12" t="n">
        <f aca="false">E10/E6</f>
        <v>0.285714285714286</v>
      </c>
      <c r="F11" s="12" t="n">
        <f aca="false">F10/F6</f>
        <v>0.285714285714286</v>
      </c>
      <c r="G11" s="12" t="n">
        <f aca="false">G10/G6</f>
        <v>0.285714285714286</v>
      </c>
      <c r="H11" s="12" t="n">
        <f aca="false">H10/H6</f>
        <v>0.285714285714286</v>
      </c>
      <c r="I11" s="12" t="n">
        <f aca="false">I10/I6</f>
        <v>0.285714285714286</v>
      </c>
      <c r="J11" s="12" t="n">
        <f aca="false">J10/J6</f>
        <v>0.285714285714286</v>
      </c>
      <c r="K11" s="12" t="n">
        <f aca="false">K10/K6</f>
        <v>0.285714285714286</v>
      </c>
      <c r="L11" s="12" t="n">
        <f aca="false">L10/L6</f>
        <v>0.285714285714286</v>
      </c>
      <c r="M11" s="12" t="n">
        <f aca="false">M10/M6</f>
        <v>0.285714285714286</v>
      </c>
      <c r="N11" s="12" t="n">
        <f aca="false">N10/N6</f>
        <v>0.285714285714286</v>
      </c>
    </row>
    <row r="13" customFormat="false" ht="15" hidden="false" customHeight="true" outlineLevel="0" collapsed="false">
      <c r="A13" s="13" t="s">
        <v>60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customFormat="false" ht="15" hidden="false" customHeight="true" outlineLevel="0" collapsed="false">
      <c r="A14" s="15" t="s">
        <v>17</v>
      </c>
      <c r="B14" s="16" t="n">
        <v>1500000</v>
      </c>
      <c r="C14" s="16" t="n">
        <v>1500000</v>
      </c>
      <c r="D14" s="16" t="n">
        <v>1500000</v>
      </c>
      <c r="E14" s="16" t="n">
        <v>1500000</v>
      </c>
      <c r="F14" s="16" t="n">
        <v>1500000</v>
      </c>
      <c r="G14" s="16" t="n">
        <v>1500000</v>
      </c>
      <c r="H14" s="16" t="n">
        <v>1500000</v>
      </c>
      <c r="I14" s="16" t="n">
        <v>1500000</v>
      </c>
      <c r="J14" s="16" t="n">
        <v>1500000</v>
      </c>
      <c r="K14" s="16" t="n">
        <v>1500000</v>
      </c>
      <c r="L14" s="16" t="n">
        <v>1500000</v>
      </c>
      <c r="M14" s="16" t="n">
        <v>1500000</v>
      </c>
      <c r="N14" s="17" t="n">
        <f aca="false">SUM(B14:M14)</f>
        <v>18000000</v>
      </c>
    </row>
    <row r="15" customFormat="false" ht="15" hidden="false" customHeight="true" outlineLevel="0" collapsed="false">
      <c r="A15" s="15" t="s">
        <v>56</v>
      </c>
      <c r="O15" s="8" t="s">
        <v>40</v>
      </c>
      <c r="P15" s="27" t="n">
        <v>1.5</v>
      </c>
    </row>
    <row r="16" customFormat="false" ht="15" hidden="false" customHeight="true" outlineLevel="0" collapsed="false">
      <c r="A16" s="15" t="s">
        <v>57</v>
      </c>
      <c r="O16" s="8" t="s">
        <v>40</v>
      </c>
      <c r="P16" s="28" t="n">
        <v>15</v>
      </c>
    </row>
    <row r="17" customFormat="false" ht="15" hidden="false" customHeight="true" outlineLevel="0" collapsed="false">
      <c r="A17" s="15" t="s">
        <v>18</v>
      </c>
      <c r="B17" s="17" t="n">
        <f aca="false">B14/$P$15</f>
        <v>1000000</v>
      </c>
      <c r="C17" s="17" t="n">
        <f aca="false">C14/$P$15</f>
        <v>1000000</v>
      </c>
      <c r="D17" s="17" t="n">
        <f aca="false">D14/$P$15</f>
        <v>1000000</v>
      </c>
      <c r="E17" s="17" t="n">
        <f aca="false">E14/$P$15</f>
        <v>1000000</v>
      </c>
      <c r="F17" s="17" t="n">
        <f aca="false">F14/$P$15</f>
        <v>1000000</v>
      </c>
      <c r="G17" s="17" t="n">
        <f aca="false">G14/$P$15</f>
        <v>1000000</v>
      </c>
      <c r="H17" s="17" t="n">
        <f aca="false">H14/$P$15</f>
        <v>1000000</v>
      </c>
      <c r="I17" s="17" t="n">
        <f aca="false">I14/$P$15</f>
        <v>1000000</v>
      </c>
      <c r="J17" s="17" t="n">
        <f aca="false">J14/$P$15</f>
        <v>1000000</v>
      </c>
      <c r="K17" s="17" t="n">
        <f aca="false">K14/$P$15</f>
        <v>1000000</v>
      </c>
      <c r="L17" s="17" t="n">
        <f aca="false">L14/$P$15</f>
        <v>1000000</v>
      </c>
      <c r="M17" s="17" t="n">
        <f aca="false">M14/$P$15</f>
        <v>1000000</v>
      </c>
      <c r="N17" s="17" t="n">
        <f aca="false">SUM(B17:M17)</f>
        <v>12000000</v>
      </c>
    </row>
    <row r="18" customFormat="false" ht="15" hidden="false" customHeight="true" outlineLevel="0" collapsed="false">
      <c r="A18" s="29" t="s">
        <v>58</v>
      </c>
      <c r="B18" s="7" t="n">
        <f aca="false">B14-B17</f>
        <v>500000</v>
      </c>
      <c r="C18" s="7" t="n">
        <f aca="false">C14-C17</f>
        <v>500000</v>
      </c>
      <c r="D18" s="7" t="n">
        <f aca="false">D14-D17</f>
        <v>500000</v>
      </c>
      <c r="E18" s="7" t="n">
        <f aca="false">E14-E17</f>
        <v>500000</v>
      </c>
      <c r="F18" s="7" t="n">
        <f aca="false">F14-F17</f>
        <v>500000</v>
      </c>
      <c r="G18" s="7" t="n">
        <f aca="false">G14-G17</f>
        <v>500000</v>
      </c>
      <c r="H18" s="7" t="n">
        <f aca="false">H14-H17</f>
        <v>500000</v>
      </c>
      <c r="I18" s="7" t="n">
        <f aca="false">I14-I17</f>
        <v>500000</v>
      </c>
      <c r="J18" s="7" t="n">
        <f aca="false">J14-J17</f>
        <v>500000</v>
      </c>
      <c r="K18" s="7" t="n">
        <f aca="false">K14-K17</f>
        <v>500000</v>
      </c>
      <c r="L18" s="7" t="n">
        <f aca="false">L14-L17</f>
        <v>500000</v>
      </c>
      <c r="M18" s="7" t="n">
        <f aca="false">M14-M17</f>
        <v>500000</v>
      </c>
      <c r="N18" s="7" t="n">
        <f aca="false">SUM(B18:M18)</f>
        <v>6000000</v>
      </c>
    </row>
    <row r="19" customFormat="false" ht="15" hidden="false" customHeight="true" outlineLevel="0" collapsed="false">
      <c r="A19" s="15" t="s">
        <v>59</v>
      </c>
      <c r="B19" s="12" t="n">
        <f aca="false">B18/B14</f>
        <v>0.333333333333333</v>
      </c>
      <c r="C19" s="12" t="n">
        <f aca="false">C18/C14</f>
        <v>0.333333333333333</v>
      </c>
      <c r="D19" s="12" t="n">
        <f aca="false">D18/D14</f>
        <v>0.333333333333333</v>
      </c>
      <c r="E19" s="12" t="n">
        <f aca="false">E18/E14</f>
        <v>0.333333333333333</v>
      </c>
      <c r="F19" s="12" t="n">
        <f aca="false">F18/F14</f>
        <v>0.333333333333333</v>
      </c>
      <c r="G19" s="12" t="n">
        <f aca="false">G18/G14</f>
        <v>0.333333333333333</v>
      </c>
      <c r="H19" s="12" t="n">
        <f aca="false">H18/H14</f>
        <v>0.333333333333333</v>
      </c>
      <c r="I19" s="12" t="n">
        <f aca="false">I18/I14</f>
        <v>0.333333333333333</v>
      </c>
      <c r="J19" s="12" t="n">
        <f aca="false">J18/J14</f>
        <v>0.333333333333333</v>
      </c>
      <c r="K19" s="12" t="n">
        <f aca="false">K18/K14</f>
        <v>0.333333333333333</v>
      </c>
      <c r="L19" s="12" t="n">
        <f aca="false">L18/L14</f>
        <v>0.333333333333333</v>
      </c>
      <c r="M19" s="12" t="n">
        <f aca="false">M18/M14</f>
        <v>0.333333333333333</v>
      </c>
      <c r="N19" s="12" t="n">
        <f aca="false">N18/N14</f>
        <v>0.333333333333333</v>
      </c>
    </row>
    <row r="21" customFormat="false" ht="15" hidden="false" customHeight="true" outlineLevel="0" collapsed="false">
      <c r="A21" s="13" t="s">
        <v>61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customFormat="false" ht="15" hidden="false" customHeight="true" outlineLevel="0" collapsed="false">
      <c r="A22" s="15" t="s">
        <v>17</v>
      </c>
      <c r="B22" s="16" t="n">
        <v>700000</v>
      </c>
      <c r="C22" s="16" t="n">
        <v>1100000</v>
      </c>
      <c r="D22" s="16" t="n">
        <v>1900000</v>
      </c>
      <c r="E22" s="16" t="n">
        <v>1700000</v>
      </c>
      <c r="F22" s="16" t="n">
        <v>2100000</v>
      </c>
      <c r="G22" s="16" t="n">
        <v>2000000</v>
      </c>
      <c r="H22" s="16" t="n">
        <v>2000000</v>
      </c>
      <c r="I22" s="16" t="n">
        <v>2500000</v>
      </c>
      <c r="J22" s="16" t="n">
        <v>3200000</v>
      </c>
      <c r="K22" s="16" t="n">
        <v>3800000</v>
      </c>
      <c r="L22" s="16" t="n">
        <v>4800000</v>
      </c>
      <c r="M22" s="16" t="n">
        <v>6200000</v>
      </c>
      <c r="N22" s="17" t="n">
        <f aca="false">SUM(B22:M22)</f>
        <v>32000000</v>
      </c>
    </row>
    <row r="23" customFormat="false" ht="15" hidden="false" customHeight="true" outlineLevel="0" collapsed="false">
      <c r="A23" s="15" t="s">
        <v>56</v>
      </c>
      <c r="O23" s="8" t="s">
        <v>40</v>
      </c>
      <c r="P23" s="27" t="n">
        <v>2.5</v>
      </c>
    </row>
    <row r="24" customFormat="false" ht="15" hidden="false" customHeight="true" outlineLevel="0" collapsed="false">
      <c r="A24" s="15" t="s">
        <v>62</v>
      </c>
      <c r="O24" s="8" t="s">
        <v>40</v>
      </c>
      <c r="P24" s="30" t="n">
        <v>0.35</v>
      </c>
    </row>
    <row r="25" customFormat="false" ht="15" hidden="false" customHeight="true" outlineLevel="0" collapsed="false">
      <c r="A25" s="15" t="s">
        <v>57</v>
      </c>
      <c r="O25" s="8" t="s">
        <v>40</v>
      </c>
      <c r="P25" s="28" t="n">
        <v>5</v>
      </c>
    </row>
    <row r="26" customFormat="false" ht="15" hidden="false" customHeight="true" outlineLevel="0" collapsed="false">
      <c r="A26" s="15" t="s">
        <v>18</v>
      </c>
      <c r="B26" s="17" t="n">
        <f aca="false">B22/$P$23</f>
        <v>280000</v>
      </c>
      <c r="C26" s="17" t="n">
        <f aca="false">C22/$P$23</f>
        <v>440000</v>
      </c>
      <c r="D26" s="17" t="n">
        <f aca="false">D22/$P$23</f>
        <v>760000</v>
      </c>
      <c r="E26" s="17" t="n">
        <f aca="false">E22/$P$23</f>
        <v>680000</v>
      </c>
      <c r="F26" s="17" t="n">
        <f aca="false">F22/$P$23</f>
        <v>840000</v>
      </c>
      <c r="G26" s="17" t="n">
        <f aca="false">G22/$P$23</f>
        <v>800000</v>
      </c>
      <c r="H26" s="17" t="n">
        <f aca="false">H22/$P$23</f>
        <v>800000</v>
      </c>
      <c r="I26" s="17" t="n">
        <f aca="false">I22/$P$23</f>
        <v>1000000</v>
      </c>
      <c r="J26" s="17" t="n">
        <f aca="false">J22/$P$23</f>
        <v>1280000</v>
      </c>
      <c r="K26" s="17" t="n">
        <f aca="false">K22/$P$23</f>
        <v>1520000</v>
      </c>
      <c r="L26" s="17" t="n">
        <f aca="false">L22/$P$23</f>
        <v>1920000</v>
      </c>
      <c r="M26" s="17" t="n">
        <f aca="false">M22/$P$23</f>
        <v>2480000</v>
      </c>
      <c r="N26" s="17" t="n">
        <f aca="false">SUM(B26:M26)</f>
        <v>12800000</v>
      </c>
    </row>
    <row r="27" customFormat="false" ht="15" hidden="false" customHeight="true" outlineLevel="0" collapsed="false">
      <c r="A27" s="15" t="s">
        <v>63</v>
      </c>
      <c r="B27" s="17" t="n">
        <f aca="false">B22*$P$24</f>
        <v>245000</v>
      </c>
      <c r="C27" s="17" t="n">
        <f aca="false">C22*$P$24</f>
        <v>385000</v>
      </c>
      <c r="D27" s="17" t="n">
        <f aca="false">D22*$P$24</f>
        <v>665000</v>
      </c>
      <c r="E27" s="17" t="n">
        <f aca="false">E22*$P$24</f>
        <v>595000</v>
      </c>
      <c r="F27" s="17" t="n">
        <f aca="false">F22*$P$24</f>
        <v>735000</v>
      </c>
      <c r="G27" s="17" t="n">
        <f aca="false">G22*$P$24</f>
        <v>700000</v>
      </c>
      <c r="H27" s="17" t="n">
        <f aca="false">H22*$P$24</f>
        <v>700000</v>
      </c>
      <c r="I27" s="17" t="n">
        <f aca="false">I22*$P$24</f>
        <v>875000</v>
      </c>
      <c r="J27" s="17" t="n">
        <f aca="false">J22*$P$24</f>
        <v>1120000</v>
      </c>
      <c r="K27" s="17" t="n">
        <f aca="false">K22*$P$24</f>
        <v>1330000</v>
      </c>
      <c r="L27" s="17" t="n">
        <f aca="false">L22*$P$24</f>
        <v>1680000</v>
      </c>
      <c r="M27" s="17" t="n">
        <f aca="false">M22*$P$24</f>
        <v>2170000</v>
      </c>
      <c r="N27" s="17" t="n">
        <f aca="false">SUM(B27:M27)</f>
        <v>11200000</v>
      </c>
    </row>
    <row r="28" customFormat="false" ht="15" hidden="false" customHeight="true" outlineLevel="0" collapsed="false">
      <c r="A28" s="29" t="s">
        <v>58</v>
      </c>
      <c r="B28" s="7" t="n">
        <f aca="false">B22-B26-B27</f>
        <v>175000</v>
      </c>
      <c r="C28" s="7" t="n">
        <f aca="false">C22-C26-C27</f>
        <v>275000</v>
      </c>
      <c r="D28" s="7" t="n">
        <f aca="false">D22-D26-D27</f>
        <v>475000</v>
      </c>
      <c r="E28" s="7" t="n">
        <f aca="false">E22-E26-E27</f>
        <v>425000</v>
      </c>
      <c r="F28" s="7" t="n">
        <f aca="false">F22-F26-F27</f>
        <v>525000</v>
      </c>
      <c r="G28" s="7" t="n">
        <f aca="false">G22-G26-G27</f>
        <v>500000</v>
      </c>
      <c r="H28" s="7" t="n">
        <f aca="false">H22-H26-H27</f>
        <v>500000</v>
      </c>
      <c r="I28" s="7" t="n">
        <f aca="false">I22-I26-I27</f>
        <v>625000</v>
      </c>
      <c r="J28" s="7" t="n">
        <f aca="false">J22-J26-J27</f>
        <v>800000</v>
      </c>
      <c r="K28" s="7" t="n">
        <f aca="false">K22-K26-K27</f>
        <v>950000</v>
      </c>
      <c r="L28" s="7" t="n">
        <f aca="false">L22-L26-L27</f>
        <v>1200000</v>
      </c>
      <c r="M28" s="7" t="n">
        <f aca="false">M22-M26-M27</f>
        <v>1550000</v>
      </c>
      <c r="N28" s="7" t="n">
        <f aca="false">SUM(B28:M28)</f>
        <v>8000000</v>
      </c>
    </row>
    <row r="29" customFormat="false" ht="15" hidden="false" customHeight="true" outlineLevel="0" collapsed="false">
      <c r="A29" s="15" t="s">
        <v>59</v>
      </c>
      <c r="B29" s="12" t="n">
        <f aca="false">B28/B22</f>
        <v>0.25</v>
      </c>
      <c r="C29" s="12" t="n">
        <f aca="false">C28/C22</f>
        <v>0.25</v>
      </c>
      <c r="D29" s="12" t="n">
        <f aca="false">D28/D22</f>
        <v>0.25</v>
      </c>
      <c r="E29" s="12" t="n">
        <f aca="false">E28/E22</f>
        <v>0.25</v>
      </c>
      <c r="F29" s="12" t="n">
        <f aca="false">F28/F22</f>
        <v>0.25</v>
      </c>
      <c r="G29" s="12" t="n">
        <f aca="false">G28/G22</f>
        <v>0.25</v>
      </c>
      <c r="H29" s="12" t="n">
        <f aca="false">H28/H22</f>
        <v>0.25</v>
      </c>
      <c r="I29" s="12" t="n">
        <f aca="false">I28/I22</f>
        <v>0.25</v>
      </c>
      <c r="J29" s="12" t="n">
        <f aca="false">J28/J22</f>
        <v>0.25</v>
      </c>
      <c r="K29" s="12" t="n">
        <f aca="false">K28/K22</f>
        <v>0.25</v>
      </c>
      <c r="L29" s="12" t="n">
        <f aca="false">L28/L22</f>
        <v>0.25</v>
      </c>
      <c r="M29" s="12" t="n">
        <f aca="false">M28/M22</f>
        <v>0.25</v>
      </c>
      <c r="N29" s="12" t="n">
        <f aca="false">N28/N22</f>
        <v>0.25</v>
      </c>
    </row>
    <row r="31" customFormat="false" ht="15" hidden="false" customHeight="true" outlineLevel="0" collapsed="false">
      <c r="A31" s="10" t="s">
        <v>64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customFormat="false" ht="15" hidden="false" customHeight="true" outlineLevel="0" collapsed="false">
      <c r="A32" s="4" t="s">
        <v>17</v>
      </c>
      <c r="B32" s="7" t="n">
        <f aca="false">B6+B14+B22</f>
        <v>7000000</v>
      </c>
      <c r="C32" s="7" t="n">
        <f aca="false">C6+C14+C22</f>
        <v>8200000</v>
      </c>
      <c r="D32" s="7" t="n">
        <f aca="false">D6+D14+D22</f>
        <v>8600000</v>
      </c>
      <c r="E32" s="7" t="n">
        <f aca="false">E6+E14+E22</f>
        <v>7800000</v>
      </c>
      <c r="F32" s="7" t="n">
        <f aca="false">F6+F14+F22</f>
        <v>8600000</v>
      </c>
      <c r="G32" s="7" t="n">
        <f aca="false">G6+G14+G22</f>
        <v>9700000</v>
      </c>
      <c r="H32" s="7" t="n">
        <f aca="false">H6+H14+H22</f>
        <v>9300000</v>
      </c>
      <c r="I32" s="7" t="n">
        <f aca="false">I6+I14+I22</f>
        <v>9900000</v>
      </c>
      <c r="J32" s="7" t="n">
        <f aca="false">J6+J14+J22</f>
        <v>10300000</v>
      </c>
      <c r="K32" s="7" t="n">
        <f aca="false">K6+K14+K22</f>
        <v>12700000</v>
      </c>
      <c r="L32" s="7" t="n">
        <f aca="false">L6+L14+L22</f>
        <v>14400000</v>
      </c>
      <c r="M32" s="7" t="n">
        <f aca="false">M6+M14+M22</f>
        <v>15300000</v>
      </c>
      <c r="N32" s="7" t="n">
        <f aca="false">N6+N14+N22</f>
        <v>121800000</v>
      </c>
    </row>
    <row r="33" customFormat="false" ht="15" hidden="false" customHeight="true" outlineLevel="0" collapsed="false">
      <c r="A33" s="4" t="s">
        <v>18</v>
      </c>
      <c r="B33" s="7" t="n">
        <f aca="false">B9+B17+B26</f>
        <v>4708571.42857143</v>
      </c>
      <c r="C33" s="7" t="n">
        <f aca="false">C9+C17+C26</f>
        <v>5440000</v>
      </c>
      <c r="D33" s="7" t="n">
        <f aca="false">D9+D17+D26</f>
        <v>5474285.71428572</v>
      </c>
      <c r="E33" s="7" t="n">
        <f aca="false">E9+E17+E26</f>
        <v>4965714.28571429</v>
      </c>
      <c r="F33" s="7" t="n">
        <f aca="false">F9+F17+F26</f>
        <v>5411428.57142857</v>
      </c>
      <c r="G33" s="7" t="n">
        <f aca="false">G9+G17+G26</f>
        <v>6228571.42857143</v>
      </c>
      <c r="H33" s="7" t="n">
        <f aca="false">H9+H17+H26</f>
        <v>5942857.14285714</v>
      </c>
      <c r="I33" s="7" t="n">
        <f aca="false">I9+I17+I26</f>
        <v>6214285.71428572</v>
      </c>
      <c r="J33" s="7" t="n">
        <f aca="false">J9+J17+J26</f>
        <v>6280000</v>
      </c>
      <c r="K33" s="7" t="n">
        <f aca="false">K9+K17+K26</f>
        <v>7805714.28571429</v>
      </c>
      <c r="L33" s="7" t="n">
        <f aca="false">L9+L17+L26</f>
        <v>8705714.28571429</v>
      </c>
      <c r="M33" s="7" t="n">
        <f aca="false">M9+M17+M26</f>
        <v>8908571.42857143</v>
      </c>
      <c r="N33" s="7" t="n">
        <f aca="false">N9+N17+N26</f>
        <v>76085714.2857143</v>
      </c>
    </row>
    <row r="34" customFormat="false" ht="15" hidden="false" customHeight="true" outlineLevel="0" collapsed="false">
      <c r="A34" s="4" t="s">
        <v>19</v>
      </c>
      <c r="B34" s="7" t="n">
        <f aca="false">B27</f>
        <v>245000</v>
      </c>
      <c r="C34" s="7" t="n">
        <f aca="false">C27</f>
        <v>385000</v>
      </c>
      <c r="D34" s="7" t="n">
        <f aca="false">D27</f>
        <v>665000</v>
      </c>
      <c r="E34" s="7" t="n">
        <f aca="false">E27</f>
        <v>595000</v>
      </c>
      <c r="F34" s="7" t="n">
        <f aca="false">F27</f>
        <v>735000</v>
      </c>
      <c r="G34" s="7" t="n">
        <f aca="false">G27</f>
        <v>700000</v>
      </c>
      <c r="H34" s="7" t="n">
        <f aca="false">H27</f>
        <v>700000</v>
      </c>
      <c r="I34" s="7" t="n">
        <f aca="false">I27</f>
        <v>875000</v>
      </c>
      <c r="J34" s="7" t="n">
        <f aca="false">J27</f>
        <v>1120000</v>
      </c>
      <c r="K34" s="7" t="n">
        <f aca="false">K27</f>
        <v>1330000</v>
      </c>
      <c r="L34" s="7" t="n">
        <f aca="false">L27</f>
        <v>1680000</v>
      </c>
      <c r="M34" s="7" t="n">
        <f aca="false">M27</f>
        <v>2170000</v>
      </c>
      <c r="N34" s="7" t="n">
        <f aca="false">N27</f>
        <v>11200000</v>
      </c>
    </row>
    <row r="35" customFormat="false" ht="15" hidden="false" customHeight="true" outlineLevel="0" collapsed="false">
      <c r="A35" s="32" t="s">
        <v>58</v>
      </c>
      <c r="B35" s="7" t="n">
        <f aca="false">B32-B33-B34</f>
        <v>2046428.57142857</v>
      </c>
      <c r="C35" s="7" t="n">
        <f aca="false">C32-C33-C34</f>
        <v>2375000</v>
      </c>
      <c r="D35" s="7" t="n">
        <f aca="false">D32-D33-D34</f>
        <v>2460714.28571429</v>
      </c>
      <c r="E35" s="7" t="n">
        <f aca="false">E32-E33-E34</f>
        <v>2239285.71428571</v>
      </c>
      <c r="F35" s="7" t="n">
        <f aca="false">F32-F33-F34</f>
        <v>2453571.42857143</v>
      </c>
      <c r="G35" s="7" t="n">
        <f aca="false">G32-G33-G34</f>
        <v>2771428.57142857</v>
      </c>
      <c r="H35" s="7" t="n">
        <f aca="false">H32-H33-H34</f>
        <v>2657142.85714286</v>
      </c>
      <c r="I35" s="7" t="n">
        <f aca="false">I32-I33-I34</f>
        <v>2810714.28571429</v>
      </c>
      <c r="J35" s="7" t="n">
        <f aca="false">J32-J33-J34</f>
        <v>2900000</v>
      </c>
      <c r="K35" s="7" t="n">
        <f aca="false">K32-K33-K34</f>
        <v>3564285.71428571</v>
      </c>
      <c r="L35" s="7" t="n">
        <f aca="false">L32-L33-L34</f>
        <v>4014285.71428571</v>
      </c>
      <c r="M35" s="7" t="n">
        <f aca="false">M32-M33-M34</f>
        <v>4221428.57142857</v>
      </c>
      <c r="N35" s="7" t="n">
        <f aca="false">SUM(B35:M35)</f>
        <v>34514285.7142857</v>
      </c>
    </row>
    <row r="36" customFormat="false" ht="15" hidden="false" customHeight="true" outlineLevel="0" collapsed="false">
      <c r="A36" s="8" t="s">
        <v>59</v>
      </c>
      <c r="B36" s="12" t="n">
        <f aca="false">B35/B32</f>
        <v>0.29234693877551</v>
      </c>
      <c r="C36" s="12" t="n">
        <f aca="false">C35/C32</f>
        <v>0.289634146341463</v>
      </c>
      <c r="D36" s="12" t="n">
        <f aca="false">D35/D32</f>
        <v>0.286129568106312</v>
      </c>
      <c r="E36" s="12" t="n">
        <f aca="false">E35/E32</f>
        <v>0.287087912087912</v>
      </c>
      <c r="F36" s="12" t="n">
        <f aca="false">F35/F32</f>
        <v>0.285299003322259</v>
      </c>
      <c r="G36" s="12" t="n">
        <f aca="false">G35/G32</f>
        <v>0.285714285714286</v>
      </c>
      <c r="H36" s="12" t="n">
        <f aca="false">H35/H32</f>
        <v>0.285714285714286</v>
      </c>
      <c r="I36" s="12" t="n">
        <f aca="false">I35/I32</f>
        <v>0.283910533910534</v>
      </c>
      <c r="J36" s="12" t="n">
        <f aca="false">J35/J32</f>
        <v>0.281553398058252</v>
      </c>
      <c r="K36" s="12" t="n">
        <f aca="false">K35/K32</f>
        <v>0.280652418447694</v>
      </c>
      <c r="L36" s="12" t="n">
        <f aca="false">L35/L32</f>
        <v>0.278769841269841</v>
      </c>
      <c r="M36" s="12" t="n">
        <f aca="false">M35/M32</f>
        <v>0.275910364145658</v>
      </c>
      <c r="N36" s="12" t="n">
        <f aca="false">N35/N32</f>
        <v>0.283368519821722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13" min="2" style="1" width="12"/>
    <col collapsed="false" customWidth="true" hidden="false" outlineLevel="0" max="14" min="14" style="1" width="14"/>
    <col collapsed="false" customWidth="true" hidden="false" outlineLevel="0" max="16" min="16" style="1" width="16"/>
    <col collapsed="false" customWidth="true" hidden="false" outlineLevel="0" max="17" min="17" style="1" width="13"/>
  </cols>
  <sheetData>
    <row r="1" customFormat="false" ht="17.25" hidden="false" customHeight="true" outlineLevel="0" collapsed="false">
      <c r="A1" s="2" t="s">
        <v>65</v>
      </c>
    </row>
    <row r="2" customFormat="false" ht="15" hidden="false" customHeight="true" outlineLevel="0" collapsed="false">
      <c r="A2" s="3" t="s">
        <v>66</v>
      </c>
    </row>
    <row r="4" customFormat="false" ht="15" hidden="false" customHeight="true" outlineLevel="0" collapsed="false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P4" s="6" t="s">
        <v>67</v>
      </c>
      <c r="Q4" s="6" t="s">
        <v>68</v>
      </c>
    </row>
    <row r="5" customFormat="false" ht="15" hidden="false" customHeight="true" outlineLevel="0" collapsed="false">
      <c r="A5" s="26" t="s">
        <v>69</v>
      </c>
      <c r="B5" s="33" t="n">
        <f aca="false">B10+B17</f>
        <v>395000</v>
      </c>
      <c r="C5" s="33" t="n">
        <f aca="false">C10+C17</f>
        <v>395000</v>
      </c>
      <c r="D5" s="33" t="n">
        <f aca="false">D10+D17</f>
        <v>395000</v>
      </c>
      <c r="E5" s="33" t="n">
        <f aca="false">E10+E17</f>
        <v>425000</v>
      </c>
      <c r="F5" s="33" t="n">
        <f aca="false">F10+F17</f>
        <v>425000</v>
      </c>
      <c r="G5" s="33" t="n">
        <f aca="false">G10+G17</f>
        <v>425000</v>
      </c>
      <c r="H5" s="33" t="n">
        <f aca="false">H10+H17</f>
        <v>395000</v>
      </c>
      <c r="I5" s="33" t="n">
        <f aca="false">I10+I17</f>
        <v>395000</v>
      </c>
      <c r="J5" s="33" t="n">
        <f aca="false">J10+J17</f>
        <v>395000</v>
      </c>
      <c r="K5" s="33" t="n">
        <f aca="false">K10+K17</f>
        <v>425000</v>
      </c>
      <c r="L5" s="33" t="n">
        <f aca="false">L10+L17</f>
        <v>425000</v>
      </c>
      <c r="M5" s="33" t="n">
        <f aca="false">M10+M17</f>
        <v>425000</v>
      </c>
      <c r="N5" s="33" t="n">
        <f aca="false">N10+N17</f>
        <v>4920000</v>
      </c>
    </row>
    <row r="6" customFormat="false" ht="15" hidden="false" customHeight="true" outlineLevel="0" collapsed="false">
      <c r="A6" s="34" t="s">
        <v>70</v>
      </c>
      <c r="B6" s="16" t="n">
        <v>60000</v>
      </c>
      <c r="C6" s="16" t="n">
        <v>60000</v>
      </c>
      <c r="D6" s="16" t="n">
        <v>60000</v>
      </c>
      <c r="E6" s="16" t="n">
        <v>90000</v>
      </c>
      <c r="F6" s="16" t="n">
        <v>90000</v>
      </c>
      <c r="G6" s="16" t="n">
        <v>90000</v>
      </c>
      <c r="H6" s="16" t="n">
        <v>60000</v>
      </c>
      <c r="I6" s="16" t="n">
        <v>60000</v>
      </c>
      <c r="J6" s="16" t="n">
        <v>60000</v>
      </c>
      <c r="K6" s="16" t="n">
        <v>90000</v>
      </c>
      <c r="L6" s="16" t="n">
        <v>90000</v>
      </c>
      <c r="M6" s="16" t="n">
        <v>90000</v>
      </c>
      <c r="N6" s="17" t="n">
        <f aca="false">SUM(B6:M6)</f>
        <v>900000</v>
      </c>
      <c r="P6" s="35" t="s">
        <v>71</v>
      </c>
      <c r="Q6" s="36" t="n">
        <v>5</v>
      </c>
    </row>
    <row r="7" customFormat="false" ht="15" hidden="false" customHeight="true" outlineLevel="0" collapsed="false">
      <c r="A7" s="37" t="s">
        <v>72</v>
      </c>
      <c r="B7" s="38" t="n">
        <v>0</v>
      </c>
      <c r="C7" s="38" t="n">
        <v>0</v>
      </c>
      <c r="D7" s="38" t="n">
        <v>0</v>
      </c>
      <c r="E7" s="38" t="n">
        <v>0</v>
      </c>
      <c r="F7" s="38" t="n">
        <v>0</v>
      </c>
      <c r="G7" s="38" t="n">
        <v>0</v>
      </c>
      <c r="H7" s="38" t="n">
        <v>0</v>
      </c>
      <c r="I7" s="38" t="n">
        <v>0</v>
      </c>
      <c r="J7" s="38" t="n">
        <v>0</v>
      </c>
      <c r="K7" s="38" t="n">
        <v>0</v>
      </c>
      <c r="L7" s="38" t="n">
        <v>0</v>
      </c>
      <c r="M7" s="38" t="n">
        <v>0</v>
      </c>
      <c r="N7" s="38" t="n">
        <v>0</v>
      </c>
      <c r="P7" s="35" t="s">
        <v>71</v>
      </c>
      <c r="Q7" s="36" t="n">
        <v>5</v>
      </c>
    </row>
    <row r="8" customFormat="false" ht="15" hidden="false" customHeight="true" outlineLevel="0" collapsed="false">
      <c r="A8" s="37" t="s">
        <v>73</v>
      </c>
      <c r="B8" s="38" t="n">
        <v>0</v>
      </c>
      <c r="C8" s="38" t="n">
        <v>0</v>
      </c>
      <c r="D8" s="38" t="n">
        <v>0</v>
      </c>
      <c r="E8" s="38" t="n">
        <v>0</v>
      </c>
      <c r="F8" s="38" t="n">
        <v>0</v>
      </c>
      <c r="G8" s="38" t="n">
        <v>0</v>
      </c>
      <c r="H8" s="38" t="n">
        <v>0</v>
      </c>
      <c r="I8" s="38" t="n">
        <v>0</v>
      </c>
      <c r="J8" s="38" t="n">
        <v>0</v>
      </c>
      <c r="K8" s="38" t="n">
        <v>0</v>
      </c>
      <c r="L8" s="38" t="n">
        <v>0</v>
      </c>
      <c r="M8" s="38" t="n">
        <v>0</v>
      </c>
      <c r="N8" s="38" t="n">
        <v>0</v>
      </c>
      <c r="P8" s="35" t="s">
        <v>71</v>
      </c>
      <c r="Q8" s="36" t="n">
        <v>5</v>
      </c>
    </row>
    <row r="9" customFormat="false" ht="15" hidden="false" customHeight="true" outlineLevel="0" collapsed="false">
      <c r="A9" s="34" t="s">
        <v>74</v>
      </c>
      <c r="B9" s="16" t="n">
        <v>30000</v>
      </c>
      <c r="C9" s="16" t="n">
        <v>30000</v>
      </c>
      <c r="D9" s="16" t="n">
        <v>30000</v>
      </c>
      <c r="E9" s="16" t="n">
        <v>30000</v>
      </c>
      <c r="F9" s="16" t="n">
        <v>30000</v>
      </c>
      <c r="G9" s="16" t="n">
        <v>30000</v>
      </c>
      <c r="H9" s="16" t="n">
        <v>30000</v>
      </c>
      <c r="I9" s="16" t="n">
        <v>30000</v>
      </c>
      <c r="J9" s="16" t="n">
        <v>30000</v>
      </c>
      <c r="K9" s="16" t="n">
        <v>30000</v>
      </c>
      <c r="L9" s="16" t="n">
        <v>30000</v>
      </c>
      <c r="M9" s="16" t="n">
        <v>30000</v>
      </c>
      <c r="N9" s="17" t="n">
        <f aca="false">SUM(B9:M9)</f>
        <v>360000</v>
      </c>
      <c r="P9" s="35" t="s">
        <v>71</v>
      </c>
      <c r="Q9" s="36" t="n">
        <v>5</v>
      </c>
    </row>
    <row r="10" customFormat="false" ht="15" hidden="false" customHeight="true" outlineLevel="0" collapsed="false">
      <c r="A10" s="39" t="s">
        <v>75</v>
      </c>
      <c r="B10" s="40" t="n">
        <f aca="false">B6+B7+B8+B9</f>
        <v>90000</v>
      </c>
      <c r="C10" s="40" t="n">
        <f aca="false">C6+C7+C8+C9</f>
        <v>90000</v>
      </c>
      <c r="D10" s="40" t="n">
        <f aca="false">D6+D7+D8+D9</f>
        <v>90000</v>
      </c>
      <c r="E10" s="40" t="n">
        <f aca="false">E6+E7+E8+E9</f>
        <v>120000</v>
      </c>
      <c r="F10" s="40" t="n">
        <f aca="false">F6+F7+F8+F9</f>
        <v>120000</v>
      </c>
      <c r="G10" s="40" t="n">
        <f aca="false">G6+G7+G8+G9</f>
        <v>120000</v>
      </c>
      <c r="H10" s="40" t="n">
        <f aca="false">H6+H7+H8+H9</f>
        <v>90000</v>
      </c>
      <c r="I10" s="40" t="n">
        <f aca="false">I6+I7+I8+I9</f>
        <v>90000</v>
      </c>
      <c r="J10" s="40" t="n">
        <f aca="false">J6+J7+J8+J9</f>
        <v>90000</v>
      </c>
      <c r="K10" s="40" t="n">
        <f aca="false">K6+K7+K8+K9</f>
        <v>120000</v>
      </c>
      <c r="L10" s="40" t="n">
        <f aca="false">L6+L7+L8+L9</f>
        <v>120000</v>
      </c>
      <c r="M10" s="40" t="n">
        <f aca="false">M6+M7+M8+M9</f>
        <v>120000</v>
      </c>
      <c r="N10" s="40" t="n">
        <f aca="false">N6+N7+N8+N9</f>
        <v>1260000</v>
      </c>
    </row>
    <row r="11" customFormat="false" ht="15" hidden="false" customHeight="true" outlineLevel="0" collapsed="false">
      <c r="A11" s="34" t="s">
        <v>76</v>
      </c>
      <c r="B11" s="16" t="n">
        <v>50000</v>
      </c>
      <c r="C11" s="16" t="n">
        <v>50000</v>
      </c>
      <c r="D11" s="16" t="n">
        <v>50000</v>
      </c>
      <c r="E11" s="16" t="n">
        <v>50000</v>
      </c>
      <c r="F11" s="16" t="n">
        <v>50000</v>
      </c>
      <c r="G11" s="16" t="n">
        <v>50000</v>
      </c>
      <c r="H11" s="16" t="n">
        <v>50000</v>
      </c>
      <c r="I11" s="16" t="n">
        <v>50000</v>
      </c>
      <c r="J11" s="16" t="n">
        <v>50000</v>
      </c>
      <c r="K11" s="16" t="n">
        <v>50000</v>
      </c>
      <c r="L11" s="16" t="n">
        <v>50000</v>
      </c>
      <c r="M11" s="16" t="n">
        <v>50000</v>
      </c>
      <c r="N11" s="17" t="n">
        <f aca="false">SUM(B11:M11)</f>
        <v>600000</v>
      </c>
      <c r="P11" s="35" t="s">
        <v>71</v>
      </c>
      <c r="Q11" s="36" t="n">
        <v>5</v>
      </c>
    </row>
    <row r="12" customFormat="false" ht="15" hidden="false" customHeight="true" outlineLevel="0" collapsed="false">
      <c r="A12" s="34" t="s">
        <v>77</v>
      </c>
      <c r="B12" s="16" t="n">
        <v>15000</v>
      </c>
      <c r="C12" s="16" t="n">
        <v>15000</v>
      </c>
      <c r="D12" s="16" t="n">
        <v>15000</v>
      </c>
      <c r="E12" s="16" t="n">
        <v>15000</v>
      </c>
      <c r="F12" s="16" t="n">
        <v>15000</v>
      </c>
      <c r="G12" s="16" t="n">
        <v>15000</v>
      </c>
      <c r="H12" s="16" t="n">
        <v>15000</v>
      </c>
      <c r="I12" s="16" t="n">
        <v>15000</v>
      </c>
      <c r="J12" s="16" t="n">
        <v>15000</v>
      </c>
      <c r="K12" s="16" t="n">
        <v>15000</v>
      </c>
      <c r="L12" s="16" t="n">
        <v>15000</v>
      </c>
      <c r="M12" s="16" t="n">
        <v>15000</v>
      </c>
      <c r="N12" s="17" t="n">
        <f aca="false">SUM(B12:M12)</f>
        <v>180000</v>
      </c>
      <c r="P12" s="35" t="s">
        <v>71</v>
      </c>
      <c r="Q12" s="36" t="n">
        <v>5</v>
      </c>
    </row>
    <row r="13" customFormat="false" ht="15" hidden="false" customHeight="true" outlineLevel="0" collapsed="false">
      <c r="A13" s="34" t="s">
        <v>78</v>
      </c>
      <c r="B13" s="16" t="n">
        <v>200000</v>
      </c>
      <c r="C13" s="16" t="n">
        <v>200000</v>
      </c>
      <c r="D13" s="16" t="n">
        <v>200000</v>
      </c>
      <c r="E13" s="16" t="n">
        <v>200000</v>
      </c>
      <c r="F13" s="16" t="n">
        <v>200000</v>
      </c>
      <c r="G13" s="16" t="n">
        <v>200000</v>
      </c>
      <c r="H13" s="16" t="n">
        <v>200000</v>
      </c>
      <c r="I13" s="16" t="n">
        <v>200000</v>
      </c>
      <c r="J13" s="16" t="n">
        <v>200000</v>
      </c>
      <c r="K13" s="16" t="n">
        <v>200000</v>
      </c>
      <c r="L13" s="16" t="n">
        <v>200000</v>
      </c>
      <c r="M13" s="16" t="n">
        <v>200000</v>
      </c>
      <c r="N13" s="17" t="n">
        <f aca="false">SUM(B13:M13)</f>
        <v>2400000</v>
      </c>
      <c r="P13" s="35" t="s">
        <v>71</v>
      </c>
      <c r="Q13" s="36" t="n">
        <v>5</v>
      </c>
    </row>
    <row r="14" customFormat="false" ht="15" hidden="false" customHeight="true" outlineLevel="0" collapsed="false">
      <c r="A14" s="37" t="s">
        <v>79</v>
      </c>
      <c r="B14" s="38" t="n">
        <v>0</v>
      </c>
      <c r="C14" s="38" t="n">
        <v>0</v>
      </c>
      <c r="D14" s="38" t="n">
        <v>0</v>
      </c>
      <c r="E14" s="38" t="n">
        <v>0</v>
      </c>
      <c r="F14" s="38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38" t="n">
        <v>0</v>
      </c>
      <c r="L14" s="38" t="n">
        <v>0</v>
      </c>
      <c r="M14" s="38" t="n">
        <v>0</v>
      </c>
      <c r="N14" s="38" t="n">
        <v>0</v>
      </c>
      <c r="P14" s="35" t="s">
        <v>71</v>
      </c>
      <c r="Q14" s="36" t="n">
        <v>5</v>
      </c>
    </row>
    <row r="15" customFormat="false" ht="15" hidden="false" customHeight="true" outlineLevel="0" collapsed="false">
      <c r="A15" s="37" t="s">
        <v>80</v>
      </c>
      <c r="B15" s="38" t="n">
        <v>0</v>
      </c>
      <c r="C15" s="38" t="n">
        <v>0</v>
      </c>
      <c r="D15" s="38" t="n">
        <v>0</v>
      </c>
      <c r="E15" s="38" t="n">
        <v>0</v>
      </c>
      <c r="F15" s="38" t="n">
        <v>0</v>
      </c>
      <c r="G15" s="38" t="n">
        <v>0</v>
      </c>
      <c r="H15" s="38" t="n">
        <v>0</v>
      </c>
      <c r="I15" s="38" t="n">
        <v>0</v>
      </c>
      <c r="J15" s="38" t="n">
        <v>0</v>
      </c>
      <c r="K15" s="38" t="n">
        <v>0</v>
      </c>
      <c r="L15" s="38" t="n">
        <v>0</v>
      </c>
      <c r="M15" s="38" t="n">
        <v>0</v>
      </c>
      <c r="N15" s="38" t="n">
        <v>0</v>
      </c>
      <c r="P15" s="35" t="s">
        <v>71</v>
      </c>
      <c r="Q15" s="36" t="n">
        <v>5</v>
      </c>
    </row>
    <row r="16" customFormat="false" ht="15" hidden="false" customHeight="true" outlineLevel="0" collapsed="false">
      <c r="A16" s="34" t="s">
        <v>81</v>
      </c>
      <c r="B16" s="16" t="n">
        <v>40000</v>
      </c>
      <c r="C16" s="16" t="n">
        <v>40000</v>
      </c>
      <c r="D16" s="16" t="n">
        <v>40000</v>
      </c>
      <c r="E16" s="16" t="n">
        <v>40000</v>
      </c>
      <c r="F16" s="16" t="n">
        <v>40000</v>
      </c>
      <c r="G16" s="16" t="n">
        <v>40000</v>
      </c>
      <c r="H16" s="16" t="n">
        <v>40000</v>
      </c>
      <c r="I16" s="16" t="n">
        <v>40000</v>
      </c>
      <c r="J16" s="16" t="n">
        <v>40000</v>
      </c>
      <c r="K16" s="16" t="n">
        <v>40000</v>
      </c>
      <c r="L16" s="16" t="n">
        <v>40000</v>
      </c>
      <c r="M16" s="16" t="n">
        <v>40000</v>
      </c>
      <c r="N16" s="17" t="n">
        <f aca="false">SUM(B16:M16)</f>
        <v>480000</v>
      </c>
      <c r="P16" s="35" t="s">
        <v>71</v>
      </c>
      <c r="Q16" s="36" t="n">
        <v>5</v>
      </c>
    </row>
    <row r="17" customFormat="false" ht="15" hidden="false" customHeight="true" outlineLevel="0" collapsed="false">
      <c r="A17" s="39" t="s">
        <v>81</v>
      </c>
      <c r="B17" s="40" t="n">
        <f aca="false">B11+B12+B13+B14+B15+B16</f>
        <v>305000</v>
      </c>
      <c r="C17" s="40" t="n">
        <f aca="false">C11+C12+C13+C14+C15+C16</f>
        <v>305000</v>
      </c>
      <c r="D17" s="40" t="n">
        <f aca="false">D11+D12+D13+D14+D15+D16</f>
        <v>305000</v>
      </c>
      <c r="E17" s="40" t="n">
        <f aca="false">E11+E12+E13+E14+E15+E16</f>
        <v>305000</v>
      </c>
      <c r="F17" s="40" t="n">
        <f aca="false">F11+F12+F13+F14+F15+F16</f>
        <v>305000</v>
      </c>
      <c r="G17" s="40" t="n">
        <f aca="false">G11+G12+G13+G14+G15+G16</f>
        <v>305000</v>
      </c>
      <c r="H17" s="40" t="n">
        <f aca="false">H11+H12+H13+H14+H15+H16</f>
        <v>305000</v>
      </c>
      <c r="I17" s="40" t="n">
        <f aca="false">I11+I12+I13+I14+I15+I16</f>
        <v>305000</v>
      </c>
      <c r="J17" s="40" t="n">
        <f aca="false">J11+J12+J13+J14+J15+J16</f>
        <v>305000</v>
      </c>
      <c r="K17" s="40" t="n">
        <f aca="false">K11+K12+K13+K14+K15+K16</f>
        <v>305000</v>
      </c>
      <c r="L17" s="40" t="n">
        <f aca="false">L11+L12+L13+L14+L15+L16</f>
        <v>305000</v>
      </c>
      <c r="M17" s="40" t="n">
        <f aca="false">M11+M12+M13+M14+M15+M16</f>
        <v>305000</v>
      </c>
      <c r="N17" s="40" t="n">
        <f aca="false">N11+N12+N13+N14+N15+N16</f>
        <v>3660000</v>
      </c>
    </row>
    <row r="19" customFormat="false" ht="15" hidden="false" customHeight="true" outlineLevel="0" collapsed="false">
      <c r="A19" s="26" t="s">
        <v>82</v>
      </c>
      <c r="B19" s="33" t="n">
        <f aca="false">B22+B26+B31+B33</f>
        <v>570000</v>
      </c>
      <c r="C19" s="33" t="n">
        <f aca="false">C22+C26+C31+C33</f>
        <v>570000</v>
      </c>
      <c r="D19" s="33" t="n">
        <f aca="false">D22+D26+D31+D33</f>
        <v>570000</v>
      </c>
      <c r="E19" s="33" t="n">
        <f aca="false">E22+E26+E31+E33</f>
        <v>570000</v>
      </c>
      <c r="F19" s="33" t="n">
        <f aca="false">F22+F26+F31+F33</f>
        <v>570000</v>
      </c>
      <c r="G19" s="33" t="n">
        <f aca="false">G22+G26+G31+G33</f>
        <v>690000</v>
      </c>
      <c r="H19" s="33" t="n">
        <f aca="false">H22+H26+H31+H33</f>
        <v>570000</v>
      </c>
      <c r="I19" s="33" t="n">
        <f aca="false">I22+I26+I31+I33</f>
        <v>570000</v>
      </c>
      <c r="J19" s="33" t="n">
        <f aca="false">J22+J26+J31+J33</f>
        <v>570000</v>
      </c>
      <c r="K19" s="33" t="n">
        <f aca="false">K22+K26+K31+K33</f>
        <v>570000</v>
      </c>
      <c r="L19" s="33" t="n">
        <f aca="false">L22+L26+L31+L33</f>
        <v>570000</v>
      </c>
      <c r="M19" s="33" t="n">
        <f aca="false">M22+M26+M31+M33</f>
        <v>570000</v>
      </c>
      <c r="N19" s="33" t="n">
        <f aca="false">N22+N26+N31+N33</f>
        <v>6960000</v>
      </c>
    </row>
    <row r="20" customFormat="false" ht="15" hidden="false" customHeight="true" outlineLevel="0" collapsed="false">
      <c r="A20" s="34" t="s">
        <v>83</v>
      </c>
      <c r="B20" s="16" t="n">
        <v>180000</v>
      </c>
      <c r="C20" s="16" t="n">
        <v>180000</v>
      </c>
      <c r="D20" s="16" t="n">
        <v>180000</v>
      </c>
      <c r="E20" s="16" t="n">
        <v>180000</v>
      </c>
      <c r="F20" s="16" t="n">
        <v>180000</v>
      </c>
      <c r="G20" s="16" t="n">
        <v>180000</v>
      </c>
      <c r="H20" s="16" t="n">
        <v>180000</v>
      </c>
      <c r="I20" s="16" t="n">
        <v>180000</v>
      </c>
      <c r="J20" s="16" t="n">
        <v>180000</v>
      </c>
      <c r="K20" s="16" t="n">
        <v>180000</v>
      </c>
      <c r="L20" s="16" t="n">
        <v>180000</v>
      </c>
      <c r="M20" s="16" t="n">
        <v>180000</v>
      </c>
      <c r="N20" s="17" t="n">
        <f aca="false">SUM(B20:M20)</f>
        <v>2160000</v>
      </c>
      <c r="P20" s="35" t="s">
        <v>71</v>
      </c>
      <c r="Q20" s="36" t="n">
        <v>5</v>
      </c>
    </row>
    <row r="21" customFormat="false" ht="15" hidden="false" customHeight="true" outlineLevel="0" collapsed="false">
      <c r="A21" s="34" t="s">
        <v>84</v>
      </c>
      <c r="B21" s="16" t="n">
        <v>220000</v>
      </c>
      <c r="C21" s="16" t="n">
        <v>220000</v>
      </c>
      <c r="D21" s="16" t="n">
        <v>220000</v>
      </c>
      <c r="E21" s="16" t="n">
        <v>220000</v>
      </c>
      <c r="F21" s="16" t="n">
        <v>220000</v>
      </c>
      <c r="G21" s="16" t="n">
        <v>220000</v>
      </c>
      <c r="H21" s="16" t="n">
        <v>220000</v>
      </c>
      <c r="I21" s="16" t="n">
        <v>220000</v>
      </c>
      <c r="J21" s="16" t="n">
        <v>220000</v>
      </c>
      <c r="K21" s="16" t="n">
        <v>220000</v>
      </c>
      <c r="L21" s="16" t="n">
        <v>220000</v>
      </c>
      <c r="M21" s="16" t="n">
        <v>220000</v>
      </c>
      <c r="N21" s="17" t="n">
        <f aca="false">SUM(B21:M21)</f>
        <v>2640000</v>
      </c>
      <c r="P21" s="35" t="s">
        <v>71</v>
      </c>
      <c r="Q21" s="36" t="n">
        <v>5</v>
      </c>
    </row>
    <row r="22" customFormat="false" ht="15" hidden="false" customHeight="true" outlineLevel="0" collapsed="false">
      <c r="A22" s="39" t="s">
        <v>85</v>
      </c>
      <c r="B22" s="40" t="n">
        <f aca="false">B20+B21</f>
        <v>400000</v>
      </c>
      <c r="C22" s="40" t="n">
        <f aca="false">C20+C21</f>
        <v>400000</v>
      </c>
      <c r="D22" s="40" t="n">
        <f aca="false">D20+D21</f>
        <v>400000</v>
      </c>
      <c r="E22" s="40" t="n">
        <f aca="false">E20+E21</f>
        <v>400000</v>
      </c>
      <c r="F22" s="40" t="n">
        <f aca="false">F20+F21</f>
        <v>400000</v>
      </c>
      <c r="G22" s="40" t="n">
        <f aca="false">G20+G21</f>
        <v>400000</v>
      </c>
      <c r="H22" s="40" t="n">
        <f aca="false">H20+H21</f>
        <v>400000</v>
      </c>
      <c r="I22" s="40" t="n">
        <f aca="false">I20+I21</f>
        <v>400000</v>
      </c>
      <c r="J22" s="40" t="n">
        <f aca="false">J20+J21</f>
        <v>400000</v>
      </c>
      <c r="K22" s="40" t="n">
        <f aca="false">K20+K21</f>
        <v>400000</v>
      </c>
      <c r="L22" s="40" t="n">
        <f aca="false">L20+L21</f>
        <v>400000</v>
      </c>
      <c r="M22" s="40" t="n">
        <f aca="false">M20+M21</f>
        <v>400000</v>
      </c>
      <c r="N22" s="40" t="n">
        <f aca="false">N20+N21</f>
        <v>4800000</v>
      </c>
    </row>
    <row r="23" customFormat="false" ht="15" hidden="false" customHeight="true" outlineLevel="0" collapsed="false">
      <c r="A23" s="34" t="s">
        <v>86</v>
      </c>
      <c r="B23" s="16" t="n">
        <v>70000</v>
      </c>
      <c r="C23" s="16" t="n">
        <v>70000</v>
      </c>
      <c r="D23" s="16" t="n">
        <v>70000</v>
      </c>
      <c r="E23" s="16" t="n">
        <v>70000</v>
      </c>
      <c r="F23" s="16" t="n">
        <v>70000</v>
      </c>
      <c r="G23" s="16" t="n">
        <v>70000</v>
      </c>
      <c r="H23" s="16" t="n">
        <v>70000</v>
      </c>
      <c r="I23" s="16" t="n">
        <v>70000</v>
      </c>
      <c r="J23" s="16" t="n">
        <v>70000</v>
      </c>
      <c r="K23" s="16" t="n">
        <v>70000</v>
      </c>
      <c r="L23" s="16" t="n">
        <v>70000</v>
      </c>
      <c r="M23" s="16" t="n">
        <v>70000</v>
      </c>
      <c r="N23" s="17" t="n">
        <f aca="false">SUM(B23:M23)</f>
        <v>840000</v>
      </c>
      <c r="P23" s="35" t="s">
        <v>71</v>
      </c>
      <c r="Q23" s="36" t="n">
        <v>5</v>
      </c>
    </row>
    <row r="24" customFormat="false" ht="15" hidden="false" customHeight="true" outlineLevel="0" collapsed="false">
      <c r="A24" s="34" t="s">
        <v>87</v>
      </c>
      <c r="B24" s="16" t="n">
        <v>40000</v>
      </c>
      <c r="C24" s="16" t="n">
        <v>40000</v>
      </c>
      <c r="D24" s="16" t="n">
        <v>40000</v>
      </c>
      <c r="E24" s="16" t="n">
        <v>40000</v>
      </c>
      <c r="F24" s="16" t="n">
        <v>40000</v>
      </c>
      <c r="G24" s="16" t="n">
        <v>40000</v>
      </c>
      <c r="H24" s="16" t="n">
        <v>40000</v>
      </c>
      <c r="I24" s="16" t="n">
        <v>40000</v>
      </c>
      <c r="J24" s="16" t="n">
        <v>40000</v>
      </c>
      <c r="K24" s="16" t="n">
        <v>40000</v>
      </c>
      <c r="L24" s="16" t="n">
        <v>40000</v>
      </c>
      <c r="M24" s="16" t="n">
        <v>40000</v>
      </c>
      <c r="N24" s="17" t="n">
        <f aca="false">SUM(B24:M24)</f>
        <v>480000</v>
      </c>
      <c r="P24" s="35" t="s">
        <v>71</v>
      </c>
      <c r="Q24" s="36" t="n">
        <v>5</v>
      </c>
    </row>
    <row r="25" customFormat="false" ht="15" hidden="false" customHeight="true" outlineLevel="0" collapsed="false">
      <c r="A25" s="34" t="s">
        <v>88</v>
      </c>
      <c r="B25" s="16" t="n">
        <v>25000</v>
      </c>
      <c r="C25" s="16" t="n">
        <v>25000</v>
      </c>
      <c r="D25" s="16" t="n">
        <v>25000</v>
      </c>
      <c r="E25" s="16" t="n">
        <v>25000</v>
      </c>
      <c r="F25" s="16" t="n">
        <v>25000</v>
      </c>
      <c r="G25" s="16" t="n">
        <v>25000</v>
      </c>
      <c r="H25" s="16" t="n">
        <v>25000</v>
      </c>
      <c r="I25" s="16" t="n">
        <v>25000</v>
      </c>
      <c r="J25" s="16" t="n">
        <v>25000</v>
      </c>
      <c r="K25" s="16" t="n">
        <v>25000</v>
      </c>
      <c r="L25" s="16" t="n">
        <v>25000</v>
      </c>
      <c r="M25" s="16" t="n">
        <v>25000</v>
      </c>
      <c r="N25" s="17" t="n">
        <f aca="false">SUM(B25:M25)</f>
        <v>300000</v>
      </c>
      <c r="P25" s="35" t="s">
        <v>71</v>
      </c>
      <c r="Q25" s="36" t="n">
        <v>5</v>
      </c>
    </row>
    <row r="26" customFormat="false" ht="15" hidden="false" customHeight="true" outlineLevel="0" collapsed="false">
      <c r="A26" s="39" t="s">
        <v>89</v>
      </c>
      <c r="B26" s="40" t="n">
        <f aca="false">B23+B24+B25</f>
        <v>135000</v>
      </c>
      <c r="C26" s="40" t="n">
        <f aca="false">C23+C24+C25</f>
        <v>135000</v>
      </c>
      <c r="D26" s="40" t="n">
        <f aca="false">D23+D24+D25</f>
        <v>135000</v>
      </c>
      <c r="E26" s="40" t="n">
        <f aca="false">E23+E24+E25</f>
        <v>135000</v>
      </c>
      <c r="F26" s="40" t="n">
        <f aca="false">F23+F24+F25</f>
        <v>135000</v>
      </c>
      <c r="G26" s="40" t="n">
        <f aca="false">G23+G24+G25</f>
        <v>135000</v>
      </c>
      <c r="H26" s="40" t="n">
        <f aca="false">H23+H24+H25</f>
        <v>135000</v>
      </c>
      <c r="I26" s="40" t="n">
        <f aca="false">I23+I24+I25</f>
        <v>135000</v>
      </c>
      <c r="J26" s="40" t="n">
        <f aca="false">J23+J24+J25</f>
        <v>135000</v>
      </c>
      <c r="K26" s="40" t="n">
        <f aca="false">K23+K24+K25</f>
        <v>135000</v>
      </c>
      <c r="L26" s="40" t="n">
        <f aca="false">L23+L24+L25</f>
        <v>135000</v>
      </c>
      <c r="M26" s="40" t="n">
        <f aca="false">M23+M24+M25</f>
        <v>135000</v>
      </c>
      <c r="N26" s="40" t="n">
        <f aca="false">N23+N24+N25</f>
        <v>1620000</v>
      </c>
    </row>
    <row r="27" customFormat="false" ht="15" hidden="false" customHeight="true" outlineLevel="0" collapsed="false">
      <c r="A27" s="37" t="s">
        <v>90</v>
      </c>
      <c r="B27" s="38" t="n">
        <v>0</v>
      </c>
      <c r="C27" s="38" t="n">
        <v>0</v>
      </c>
      <c r="D27" s="38" t="n">
        <v>0</v>
      </c>
      <c r="E27" s="38" t="n">
        <v>0</v>
      </c>
      <c r="F27" s="38" t="n">
        <v>0</v>
      </c>
      <c r="G27" s="38" t="n">
        <v>0</v>
      </c>
      <c r="H27" s="38" t="n">
        <v>0</v>
      </c>
      <c r="I27" s="38" t="n">
        <v>0</v>
      </c>
      <c r="J27" s="38" t="n">
        <v>0</v>
      </c>
      <c r="K27" s="38" t="n">
        <v>0</v>
      </c>
      <c r="L27" s="38" t="n">
        <v>0</v>
      </c>
      <c r="M27" s="38" t="n">
        <v>0</v>
      </c>
      <c r="N27" s="38" t="n">
        <v>0</v>
      </c>
      <c r="P27" s="35" t="s">
        <v>71</v>
      </c>
      <c r="Q27" s="36" t="n">
        <v>5</v>
      </c>
    </row>
    <row r="28" customFormat="false" ht="15" hidden="false" customHeight="true" outlineLevel="0" collapsed="false">
      <c r="A28" s="37" t="s">
        <v>91</v>
      </c>
      <c r="B28" s="38" t="n">
        <v>0</v>
      </c>
      <c r="C28" s="38" t="n">
        <v>0</v>
      </c>
      <c r="D28" s="38" t="n">
        <v>0</v>
      </c>
      <c r="E28" s="38" t="n">
        <v>0</v>
      </c>
      <c r="F28" s="38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38" t="n">
        <v>0</v>
      </c>
      <c r="L28" s="38" t="n">
        <v>0</v>
      </c>
      <c r="M28" s="38" t="n">
        <v>0</v>
      </c>
      <c r="N28" s="38" t="n">
        <v>0</v>
      </c>
      <c r="P28" s="35" t="s">
        <v>71</v>
      </c>
      <c r="Q28" s="36" t="n">
        <v>5</v>
      </c>
    </row>
    <row r="29" customFormat="false" ht="15" hidden="false" customHeight="true" outlineLevel="0" collapsed="false">
      <c r="A29" s="34" t="s">
        <v>92</v>
      </c>
      <c r="B29" s="16" t="n">
        <v>20000</v>
      </c>
      <c r="C29" s="16" t="n">
        <v>20000</v>
      </c>
      <c r="D29" s="16" t="n">
        <v>20000</v>
      </c>
      <c r="E29" s="16" t="n">
        <v>20000</v>
      </c>
      <c r="F29" s="16" t="n">
        <v>20000</v>
      </c>
      <c r="G29" s="16" t="n">
        <v>20000</v>
      </c>
      <c r="H29" s="16" t="n">
        <v>20000</v>
      </c>
      <c r="I29" s="16" t="n">
        <v>20000</v>
      </c>
      <c r="J29" s="16" t="n">
        <v>20000</v>
      </c>
      <c r="K29" s="16" t="n">
        <v>20000</v>
      </c>
      <c r="L29" s="16" t="n">
        <v>20000</v>
      </c>
      <c r="M29" s="16" t="n">
        <v>20000</v>
      </c>
      <c r="N29" s="17" t="n">
        <f aca="false">SUM(B29:M29)</f>
        <v>240000</v>
      </c>
      <c r="P29" s="35" t="s">
        <v>71</v>
      </c>
      <c r="Q29" s="36" t="n">
        <v>5</v>
      </c>
    </row>
    <row r="30" customFormat="false" ht="15" hidden="false" customHeight="true" outlineLevel="0" collapsed="false">
      <c r="A30" s="34" t="s">
        <v>93</v>
      </c>
      <c r="B30" s="16" t="n">
        <v>0</v>
      </c>
      <c r="C30" s="16" t="n">
        <v>0</v>
      </c>
      <c r="D30" s="16" t="n">
        <v>0</v>
      </c>
      <c r="E30" s="16" t="n">
        <v>0</v>
      </c>
      <c r="F30" s="16" t="n">
        <v>0</v>
      </c>
      <c r="G30" s="16" t="n">
        <v>120000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7" t="n">
        <f aca="false">SUM(B30:M30)</f>
        <v>120000</v>
      </c>
      <c r="P30" s="35" t="s">
        <v>94</v>
      </c>
      <c r="Q30" s="36" t="n">
        <v>12</v>
      </c>
    </row>
    <row r="31" customFormat="false" ht="15" hidden="false" customHeight="true" outlineLevel="0" collapsed="false">
      <c r="A31" s="39" t="s">
        <v>95</v>
      </c>
      <c r="B31" s="40" t="n">
        <f aca="false">B27+B28+B29+B30</f>
        <v>20000</v>
      </c>
      <c r="C31" s="40" t="n">
        <f aca="false">C27+C28+C29+C30</f>
        <v>20000</v>
      </c>
      <c r="D31" s="40" t="n">
        <f aca="false">D27+D28+D29+D30</f>
        <v>20000</v>
      </c>
      <c r="E31" s="40" t="n">
        <f aca="false">E27+E28+E29+E30</f>
        <v>20000</v>
      </c>
      <c r="F31" s="40" t="n">
        <f aca="false">F27+F28+F29+F30</f>
        <v>20000</v>
      </c>
      <c r="G31" s="40" t="n">
        <f aca="false">G27+G28+G29+G30</f>
        <v>140000</v>
      </c>
      <c r="H31" s="40" t="n">
        <f aca="false">H27+H28+H29+H30</f>
        <v>20000</v>
      </c>
      <c r="I31" s="40" t="n">
        <f aca="false">I27+I28+I29+I30</f>
        <v>20000</v>
      </c>
      <c r="J31" s="40" t="n">
        <f aca="false">J27+J28+J29+J30</f>
        <v>20000</v>
      </c>
      <c r="K31" s="40" t="n">
        <f aca="false">K27+K28+K29+K30</f>
        <v>20000</v>
      </c>
      <c r="L31" s="40" t="n">
        <f aca="false">L27+L28+L29+L30</f>
        <v>20000</v>
      </c>
      <c r="M31" s="40" t="n">
        <f aca="false">M27+M28+M29+M30</f>
        <v>20000</v>
      </c>
      <c r="N31" s="40" t="n">
        <f aca="false">N27+N28+N29+N30</f>
        <v>360000</v>
      </c>
    </row>
    <row r="32" customFormat="false" ht="15" hidden="false" customHeight="true" outlineLevel="0" collapsed="false">
      <c r="A32" s="34" t="s">
        <v>96</v>
      </c>
      <c r="B32" s="16" t="n">
        <v>15000</v>
      </c>
      <c r="C32" s="16" t="n">
        <v>15000</v>
      </c>
      <c r="D32" s="16" t="n">
        <v>15000</v>
      </c>
      <c r="E32" s="16" t="n">
        <v>15000</v>
      </c>
      <c r="F32" s="16" t="n">
        <v>15000</v>
      </c>
      <c r="G32" s="16" t="n">
        <v>15000</v>
      </c>
      <c r="H32" s="16" t="n">
        <v>15000</v>
      </c>
      <c r="I32" s="16" t="n">
        <v>15000</v>
      </c>
      <c r="J32" s="16" t="n">
        <v>15000</v>
      </c>
      <c r="K32" s="16" t="n">
        <v>15000</v>
      </c>
      <c r="L32" s="16" t="n">
        <v>15000</v>
      </c>
      <c r="M32" s="16" t="n">
        <v>15000</v>
      </c>
      <c r="N32" s="17" t="n">
        <f aca="false">SUM(B32:M32)</f>
        <v>180000</v>
      </c>
      <c r="P32" s="35" t="s">
        <v>71</v>
      </c>
      <c r="Q32" s="36" t="n">
        <v>5</v>
      </c>
    </row>
    <row r="33" customFormat="false" ht="15" hidden="false" customHeight="true" outlineLevel="0" collapsed="false">
      <c r="A33" s="39" t="s">
        <v>97</v>
      </c>
      <c r="B33" s="40" t="n">
        <f aca="false">B32</f>
        <v>15000</v>
      </c>
      <c r="C33" s="40" t="n">
        <f aca="false">C32</f>
        <v>15000</v>
      </c>
      <c r="D33" s="40" t="n">
        <f aca="false">D32</f>
        <v>15000</v>
      </c>
      <c r="E33" s="40" t="n">
        <f aca="false">E32</f>
        <v>15000</v>
      </c>
      <c r="F33" s="40" t="n">
        <f aca="false">F32</f>
        <v>15000</v>
      </c>
      <c r="G33" s="40" t="n">
        <f aca="false">G32</f>
        <v>15000</v>
      </c>
      <c r="H33" s="40" t="n">
        <f aca="false">H32</f>
        <v>15000</v>
      </c>
      <c r="I33" s="40" t="n">
        <f aca="false">I32</f>
        <v>15000</v>
      </c>
      <c r="J33" s="40" t="n">
        <f aca="false">J32</f>
        <v>15000</v>
      </c>
      <c r="K33" s="40" t="n">
        <f aca="false">K32</f>
        <v>15000</v>
      </c>
      <c r="L33" s="40" t="n">
        <f aca="false">L32</f>
        <v>15000</v>
      </c>
      <c r="M33" s="40" t="n">
        <f aca="false">M32</f>
        <v>15000</v>
      </c>
      <c r="N33" s="40" t="n">
        <f aca="false">N32</f>
        <v>180000</v>
      </c>
    </row>
    <row r="36" customFormat="false" ht="15" hidden="false" customHeight="true" outlineLevel="0" collapsed="false">
      <c r="A36" s="10" t="s">
        <v>98</v>
      </c>
      <c r="B36" s="11" t="n">
        <f aca="false">B5+B19</f>
        <v>965000</v>
      </c>
      <c r="C36" s="11" t="n">
        <f aca="false">C5+C19</f>
        <v>965000</v>
      </c>
      <c r="D36" s="11" t="n">
        <f aca="false">D5+D19</f>
        <v>965000</v>
      </c>
      <c r="E36" s="11" t="n">
        <f aca="false">E5+E19</f>
        <v>995000</v>
      </c>
      <c r="F36" s="11" t="n">
        <f aca="false">F5+F19</f>
        <v>995000</v>
      </c>
      <c r="G36" s="11" t="n">
        <f aca="false">G5+G19</f>
        <v>1115000</v>
      </c>
      <c r="H36" s="11" t="n">
        <f aca="false">H5+H19</f>
        <v>965000</v>
      </c>
      <c r="I36" s="11" t="n">
        <f aca="false">I5+I19</f>
        <v>965000</v>
      </c>
      <c r="J36" s="11" t="n">
        <f aca="false">J5+J19</f>
        <v>965000</v>
      </c>
      <c r="K36" s="11" t="n">
        <f aca="false">K5+K19</f>
        <v>995000</v>
      </c>
      <c r="L36" s="11" t="n">
        <f aca="false">L5+L19</f>
        <v>995000</v>
      </c>
      <c r="M36" s="11" t="n">
        <f aca="false">M5+M19</f>
        <v>995000</v>
      </c>
      <c r="N36" s="11" t="n">
        <f aca="false">N5+N19</f>
        <v>11880000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"/>
    <col collapsed="false" customWidth="true" hidden="false" outlineLevel="0" max="3" min="3" style="1" width="18"/>
    <col collapsed="false" customWidth="true" hidden="false" outlineLevel="0" max="7" min="4" style="1" width="17"/>
  </cols>
  <sheetData>
    <row r="1" customFormat="false" ht="17.25" hidden="false" customHeight="true" outlineLevel="0" collapsed="false">
      <c r="A1" s="41" t="s">
        <v>99</v>
      </c>
    </row>
    <row r="2" customFormat="false" ht="39.75" hidden="false" customHeight="true" outlineLevel="0" collapsed="false">
      <c r="A2" s="23" t="s">
        <v>100</v>
      </c>
      <c r="B2" s="23"/>
      <c r="C2" s="23"/>
      <c r="D2" s="23"/>
      <c r="E2" s="23"/>
      <c r="F2" s="23"/>
      <c r="G2" s="23"/>
    </row>
    <row r="4" customFormat="false" ht="15" hidden="false" customHeight="true" outlineLevel="0" collapsed="false">
      <c r="A4" s="42" t="s">
        <v>101</v>
      </c>
      <c r="B4" s="42"/>
      <c r="C4" s="42"/>
      <c r="D4" s="24" t="n">
        <v>13</v>
      </c>
    </row>
    <row r="5" customFormat="false" ht="15" hidden="false" customHeight="true" outlineLevel="0" collapsed="false">
      <c r="A5" s="42" t="s">
        <v>102</v>
      </c>
      <c r="B5" s="42"/>
      <c r="C5" s="42"/>
      <c r="D5" s="24" t="n">
        <v>30</v>
      </c>
    </row>
    <row r="7" customFormat="false" ht="15" hidden="false" customHeight="true" outlineLevel="0" collapsed="false">
      <c r="A7" s="43" t="s">
        <v>103</v>
      </c>
      <c r="B7" s="43" t="s">
        <v>104</v>
      </c>
      <c r="C7" s="43" t="s">
        <v>105</v>
      </c>
      <c r="D7" s="43" t="s">
        <v>106</v>
      </c>
      <c r="E7" s="43" t="s">
        <v>107</v>
      </c>
      <c r="F7" s="43" t="s">
        <v>108</v>
      </c>
      <c r="G7" s="43" t="s">
        <v>109</v>
      </c>
    </row>
    <row r="8" customFormat="false" ht="15" hidden="false" customHeight="true" outlineLevel="0" collapsed="false">
      <c r="A8" s="44" t="s">
        <v>110</v>
      </c>
      <c r="B8" s="44" t="s">
        <v>111</v>
      </c>
      <c r="C8" s="44" t="s">
        <v>112</v>
      </c>
      <c r="D8" s="16" t="n">
        <v>80000</v>
      </c>
      <c r="E8" s="17" t="n">
        <f aca="false">D8/(1-$D$4/100)</f>
        <v>91954.0229885058</v>
      </c>
      <c r="F8" s="17" t="n">
        <f aca="false">E8*$D$5/100</f>
        <v>27586.2068965517</v>
      </c>
      <c r="G8" s="7" t="n">
        <f aca="false">E8+F8</f>
        <v>119540.229885057</v>
      </c>
    </row>
    <row r="9" customFormat="false" ht="15" hidden="false" customHeight="true" outlineLevel="0" collapsed="false">
      <c r="A9" s="44" t="s">
        <v>113</v>
      </c>
      <c r="B9" s="44" t="s">
        <v>111</v>
      </c>
      <c r="C9" s="44" t="s">
        <v>112</v>
      </c>
      <c r="D9" s="16" t="n">
        <v>80000</v>
      </c>
      <c r="E9" s="17" t="n">
        <f aca="false">D9/(1-$D$4/100)</f>
        <v>91954.0229885058</v>
      </c>
      <c r="F9" s="17" t="n">
        <f aca="false">E9*$D$5/100</f>
        <v>27586.2068965517</v>
      </c>
      <c r="G9" s="7" t="n">
        <f aca="false">E9+F9</f>
        <v>119540.229885057</v>
      </c>
    </row>
    <row r="10" customFormat="false" ht="15" hidden="false" customHeight="true" outlineLevel="0" collapsed="false">
      <c r="A10" s="44" t="s">
        <v>114</v>
      </c>
      <c r="B10" s="44" t="s">
        <v>115</v>
      </c>
      <c r="C10" s="44" t="s">
        <v>112</v>
      </c>
      <c r="D10" s="16" t="n">
        <v>90000</v>
      </c>
      <c r="E10" s="17" t="n">
        <f aca="false">D10/(1-$D$4/100)</f>
        <v>103448.275862069</v>
      </c>
      <c r="F10" s="17" t="n">
        <f aca="false">E10*$D$5/100</f>
        <v>31034.4827586207</v>
      </c>
      <c r="G10" s="7" t="n">
        <f aca="false">E10+F10</f>
        <v>134482.75862069</v>
      </c>
    </row>
    <row r="11" customFormat="false" ht="15" hidden="false" customHeight="true" outlineLevel="0" collapsed="false">
      <c r="A11" s="44" t="s">
        <v>116</v>
      </c>
      <c r="B11" s="44" t="s">
        <v>117</v>
      </c>
      <c r="C11" s="44" t="s">
        <v>118</v>
      </c>
      <c r="D11" s="16" t="n">
        <v>70000</v>
      </c>
      <c r="E11" s="17" t="n">
        <f aca="false">D11/(1-$D$4/100)</f>
        <v>80459.7701149425</v>
      </c>
      <c r="F11" s="17" t="n">
        <f aca="false">E11*$D$5/100</f>
        <v>24137.9310344828</v>
      </c>
      <c r="G11" s="7" t="n">
        <f aca="false">E11+F11</f>
        <v>104597.701149425</v>
      </c>
    </row>
    <row r="12" customFormat="false" ht="15" hidden="false" customHeight="true" outlineLevel="0" collapsed="false">
      <c r="A12" s="44" t="s">
        <v>119</v>
      </c>
      <c r="B12" s="44" t="s">
        <v>120</v>
      </c>
      <c r="C12" s="44" t="s">
        <v>118</v>
      </c>
      <c r="D12" s="16" t="n">
        <v>60000</v>
      </c>
      <c r="E12" s="17" t="n">
        <f aca="false">D12/(1-$D$4/100)</f>
        <v>68965.5172413793</v>
      </c>
      <c r="F12" s="17" t="n">
        <f aca="false">E12*$D$5/100</f>
        <v>20689.6551724138</v>
      </c>
      <c r="G12" s="7" t="n">
        <f aca="false">E12+F12</f>
        <v>89655.1724137931</v>
      </c>
    </row>
    <row r="14" customFormat="false" ht="15" hidden="false" customHeight="true" outlineLevel="0" collapsed="false">
      <c r="A14" s="4" t="s">
        <v>121</v>
      </c>
      <c r="F14" s="11"/>
      <c r="G14" s="11" t="n">
        <f aca="false">SUMIF(C8:C12,"Коммерческий",G8:G12)</f>
        <v>373563.218390805</v>
      </c>
    </row>
    <row r="15" customFormat="false" ht="15" hidden="false" customHeight="true" outlineLevel="0" collapsed="false">
      <c r="A15" s="4" t="s">
        <v>122</v>
      </c>
      <c r="F15" s="11"/>
      <c r="G15" s="11" t="n">
        <f aca="false">SUMIF(C8:C12,"Административный",G8:G12)</f>
        <v>194252.873563218</v>
      </c>
    </row>
  </sheetData>
  <mergeCells count="3">
    <mergeCell ref="A2:G2"/>
    <mergeCell ref="A4:C4"/>
    <mergeCell ref="A5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2026-08-11T21:05:43Z</dcterms:created>
  <dc:creator>openpyxl</dc:creator>
  <dc:description/>
  <dc:language>en-US</dc:language>
  <cp:lastModifiedBy/>
  <dcterms:modified xsi:type="dcterms:W3CDTF">2026-08-26T15:01:36Z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